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ange 2019-2021" sheetId="1" state="visible" r:id="rId3"/>
    <sheet name="Change by Origin" sheetId="2" state="visible" r:id="rId4"/>
    <sheet name="Change by Nativity" sheetId="3" state="visible" r:id="rId5"/>
    <sheet name="2019 1-Year" sheetId="4" state="visible" r:id="rId6"/>
    <sheet name="2021 1-Year" sheetId="5" state="visible" r:id="rId7"/>
    <sheet name="Origin 2019" sheetId="6" state="visible" r:id="rId8"/>
    <sheet name="Origin 2021" sheetId="7" state="visible" r:id="rId9"/>
    <sheet name="Nativity 2019" sheetId="8" state="visible" r:id="rId10"/>
    <sheet name="Nativity 2021" sheetId="9" state="visible" r:id="rId11"/>
    <sheet name="Source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<sst xmlns="http://schemas.openxmlformats.org/spreadsheetml/2006/main" count="356" uniqueCount="139">
  <si>
    <t xml:space="preserve">Change in the AI/AN Population Count, 2019 to 2021: Growth Was Among People Not Reporting IHS</t>
  </si>
  <si>
    <t xml:space="preserve">ACS 1-Year PUMS, 2019 and 2021. AI/AN alone or in combination. The 2020 race question change falls between these two years.</t>
  </si>
  <si>
    <t xml:space="preserve">Measure</t>
  </si>
  <si>
    <t xml:space="preserve">2019</t>
  </si>
  <si>
    <t xml:space="preserve">2021</t>
  </si>
  <si>
    <t xml:space="preserve">Change</t>
  </si>
  <si>
    <t xml:space="preserve">% change</t>
  </si>
  <si>
    <t xml:space="preserve">Share of AI/AN growth</t>
  </si>
  <si>
    <t xml:space="preserve">Total U.S. population</t>
  </si>
  <si>
    <t xml:space="preserve">Non-AI/AN</t>
  </si>
  <si>
    <t xml:space="preserve">AI/AN (alone or in combination)</t>
  </si>
  <si>
    <t xml:space="preserve">  AI/AN reporting IHS coverage</t>
  </si>
  <si>
    <t xml:space="preserve">  AI/AN not reporting IHS coverage</t>
  </si>
  <si>
    <t xml:space="preserve">Non-AI/AN reporting IHS coverage</t>
  </si>
  <si>
    <t xml:space="preserve">Rates</t>
  </si>
  <si>
    <t xml:space="preserve">AI/AN as % of U.S. population</t>
  </si>
  <si>
    <t xml:space="preserve">% of AI/AN reporting IHS coverage</t>
  </si>
  <si>
    <t xml:space="preserve">AI/AN as % of all IHS reporters</t>
  </si>
  <si>
    <t xml:space="preserve">Green figures link to the year sheets; black figures are calculated.</t>
  </si>
  <si>
    <t xml:space="preserve">The 2020 Census and ACS race question added example groups and expanded write-in coding for the AI/AN category; responses in 2021 reflect that change, responses in 2019 do not.</t>
  </si>
  <si>
    <t xml:space="preserve">Total U.S. population grew about 1% over these two years, so nearly all of the AI/AN increase reflects how people answered the race question rather than population growth.</t>
  </si>
  <si>
    <t xml:space="preserve">These data show where the growth occurred (people not reporting IHS coverage) but do not by themselves identify respondents' origins; detailed tribe, Hispanic origin, or place-of-birth tabulations would test that directly.</t>
  </si>
  <si>
    <t xml:space="preserve">No standard 2020 1-year ACS was released (pandemic data collection), so 2019 and 2021 are the adjacent standard 1-year releases.</t>
  </si>
  <si>
    <t xml:space="preserve">PUMS estimates carry sampling error; margins of error are not shown.</t>
  </si>
  <si>
    <t xml:space="preserve">Where the 2019–2021 AI/AN Increase Came From, by Hispanic Origin</t>
  </si>
  <si>
    <t xml:space="preserve">ACS 1-Year PUMS, 2019 and 2021. AI/AN alone or in combination. Groups summed from the Origin sheets.</t>
  </si>
  <si>
    <t xml:space="preserve">Origin group</t>
  </si>
  <si>
    <t xml:space="preserve">AI/AN 2019</t>
  </si>
  <si>
    <t xml:space="preserve">AI/AN 2021</t>
  </si>
  <si>
    <t xml:space="preserve">Not reporting IHS: change</t>
  </si>
  <si>
    <t xml:space="preserve">Not Hispanic</t>
  </si>
  <si>
    <t xml:space="preserve">Hispanic (all origins)</t>
  </si>
  <si>
    <t xml:space="preserve">  Mexican</t>
  </si>
  <si>
    <t xml:space="preserve">  Central American</t>
  </si>
  <si>
    <t xml:space="preserve">  South American</t>
  </si>
  <si>
    <t xml:space="preserve">  Caribbean</t>
  </si>
  <si>
    <t xml:space="preserve">  Spaniard</t>
  </si>
  <si>
    <t xml:space="preserve">  Other Hispanic</t>
  </si>
  <si>
    <t xml:space="preserve">All AI/AN</t>
  </si>
  <si>
    <t xml:space="preserve">Hispanic share of the AI/AN population</t>
  </si>
  <si>
    <t xml:space="preserve">Hispanic origin is not the same as birth outside the United States: many Hispanic AI/AN respondents are U.S.-born, and some have U.S. tribal ties. Place-of-birth data would separate these.</t>
  </si>
  <si>
    <t xml:space="preserve">Non-Hispanic AI/AN growth is also large and likely reflects other parts of the 2020 change, including expanded write-in coding and multiracial reporting.</t>
  </si>
  <si>
    <t xml:space="preserve">South American = Argentinean through Other South American. Caribbean = Puerto Rican, Cuban, Dominican.</t>
  </si>
  <si>
    <t xml:space="preserve">Where the 2019–2021 AI/AN Increase Came From, by Hispanic Origin and Nativity</t>
  </si>
  <si>
    <t xml:space="preserve">ACS 1-Year PUMS, 2019 and 2021. AI/AN alone or in combination. Summed from the Nativity sheets.</t>
  </si>
  <si>
    <t xml:space="preserve">Group</t>
  </si>
  <si>
    <t xml:space="preserve">Not Hispanic, U.S.-born</t>
  </si>
  <si>
    <t xml:space="preserve">Not Hispanic, foreign-born</t>
  </si>
  <si>
    <t xml:space="preserve">Hispanic, U.S.-born</t>
  </si>
  <si>
    <t xml:space="preserve">Hispanic, foreign-born</t>
  </si>
  <si>
    <t xml:space="preserve">Subtotals</t>
  </si>
  <si>
    <t xml:space="preserve">All U.S.-born AI/AN</t>
  </si>
  <si>
    <t xml:space="preserve">All foreign-born AI/AN</t>
  </si>
  <si>
    <t xml:space="preserve">All Hispanic AI/AN</t>
  </si>
  <si>
    <t xml:space="preserve">Foreign-born share of AI/AN</t>
  </si>
  <si>
    <t xml:space="preserve">Most of the increase is among U.S.-born respondents. Foreign-born AI/AN, almost all Hispanic, account for about one-fifth of the growth.</t>
  </si>
  <si>
    <t xml:space="preserve">'Non-U.S. AI/AN' in the sense of Indigenous heritage from Latin America is better approximated by Hispanic origin (U.S.-born and foreign-born together) than by place of birth.</t>
  </si>
  <si>
    <t xml:space="preserve">Native = born in the U.S., Puerto Rico, or U.S. Island Areas, or born abroad to a U.S.-citizen parent (Census NATIVITY definition).</t>
  </si>
  <si>
    <t xml:space="preserve">IHS Coverage Reporting by AI/AN Status, United States, 2019</t>
  </si>
  <si>
    <t xml:space="preserve">ACS 1-Year PUMS, 2019. AI/AN alone or in combination. Weighted person counts (PWGTP). All ages.</t>
  </si>
  <si>
    <t xml:space="preserve">Reports IHS coverage</t>
  </si>
  <si>
    <t xml:space="preserve">AI/AN</t>
  </si>
  <si>
    <t xml:space="preserve">All persons</t>
  </si>
  <si>
    <t xml:space="preserve">AI/AN share of group</t>
  </si>
  <si>
    <t xml:space="preserve">% of AI/AN</t>
  </si>
  <si>
    <t xml:space="preserve">Yes</t>
  </si>
  <si>
    <t xml:space="preserve">No</t>
  </si>
  <si>
    <t xml:space="preserve">Total</t>
  </si>
  <si>
    <t xml:space="preserve">Blue figures are the Census Bureau's weighted estimates; black figures are calculated.</t>
  </si>
  <si>
    <t xml:space="preserve">IHS = respondent reported coverage through the Indian Health Service (HINS7); the Census Bureau does not count IHS alone as health insurance.</t>
  </si>
  <si>
    <t xml:space="preserve">IHS Coverage Reporting by AI/AN Status, United States, 2021</t>
  </si>
  <si>
    <t xml:space="preserve">ACS 1-Year PUMS, 2021. AI/AN alone or in combination. Weighted person counts (PWGTP). All ages.</t>
  </si>
  <si>
    <t xml:space="preserve">AI/AN Population by Hispanic Origin and IHS Reporting, United States, 2019</t>
  </si>
  <si>
    <t xml:space="preserve">ACS 1-Year PUMS, 2019. AI/AN alone or in combination. Weighted person counts (PWGTP).</t>
  </si>
  <si>
    <t xml:space="preserve">Detailed Hispanic origin</t>
  </si>
  <si>
    <t xml:space="preserve">AI/AN reporting IHS</t>
  </si>
  <si>
    <t xml:space="preserve">AI/AN not reporting IHS</t>
  </si>
  <si>
    <t xml:space="preserve">AI/AN share of origin group</t>
  </si>
  <si>
    <t xml:space="preserve">Not Spanish/Hispanic/Latino</t>
  </si>
  <si>
    <t xml:space="preserve">Mexican</t>
  </si>
  <si>
    <t xml:space="preserve">Puerto Rican</t>
  </si>
  <si>
    <t xml:space="preserve">Caribbean</t>
  </si>
  <si>
    <t xml:space="preserve">Cuban</t>
  </si>
  <si>
    <t xml:space="preserve">Dominican</t>
  </si>
  <si>
    <t xml:space="preserve">Costa Rican</t>
  </si>
  <si>
    <t xml:space="preserve">Central American</t>
  </si>
  <si>
    <t xml:space="preserve">Guatemalan</t>
  </si>
  <si>
    <t xml:space="preserve">Honduran</t>
  </si>
  <si>
    <t xml:space="preserve">Nicaraguan</t>
  </si>
  <si>
    <t xml:space="preserve">Panamanian</t>
  </si>
  <si>
    <t xml:space="preserve">Salvadoran</t>
  </si>
  <si>
    <t xml:space="preserve">Other Central American</t>
  </si>
  <si>
    <t xml:space="preserve">Argentinean</t>
  </si>
  <si>
    <t xml:space="preserve">South American</t>
  </si>
  <si>
    <t xml:space="preserve">Bolivian</t>
  </si>
  <si>
    <t xml:space="preserve">Chilean</t>
  </si>
  <si>
    <t xml:space="preserve">Colombian</t>
  </si>
  <si>
    <t xml:space="preserve">Ecuadorian</t>
  </si>
  <si>
    <t xml:space="preserve">Paraguayan</t>
  </si>
  <si>
    <t xml:space="preserve">Peruvian</t>
  </si>
  <si>
    <t xml:space="preserve">Uruguayan</t>
  </si>
  <si>
    <t xml:space="preserve">Venezuelan</t>
  </si>
  <si>
    <t xml:space="preserve">Other South American</t>
  </si>
  <si>
    <t xml:space="preserve">Spaniard</t>
  </si>
  <si>
    <t xml:space="preserve">All Other Spanish/Hispanic/Latino</t>
  </si>
  <si>
    <t xml:space="preserve">Other Hispanic</t>
  </si>
  <si>
    <t xml:space="preserve">Blue figures are the Census Bureau's weighted estimates; black figures are calculated. 'Group' is a regional grouping added for the comparison sheet.</t>
  </si>
  <si>
    <t xml:space="preserve">AI/AN Population by Hispanic Origin and IHS Reporting, United States, 2021</t>
  </si>
  <si>
    <t xml:space="preserve">ACS 1-Year PUMS, 2021. AI/AN alone or in combination. Weighted person counts (PWGTP).</t>
  </si>
  <si>
    <t xml:space="preserve">AI/AN Population by Hispanic Origin, Nativity, and IHS Reporting, United States, 2019</t>
  </si>
  <si>
    <t xml:space="preserve">ACS 1-Year PUMS, 2019. AI/AN alone or in combination. Native = born in the U.S. or its territories, or born abroad to U.S.-citizen parents.</t>
  </si>
  <si>
    <t xml:space="preserve">Reports IHS: Native</t>
  </si>
  <si>
    <t xml:space="preserve">Reports IHS: Foreign born</t>
  </si>
  <si>
    <t xml:space="preserve">No IHS: Native</t>
  </si>
  <si>
    <t xml:space="preserve">No IHS: Foreign born</t>
  </si>
  <si>
    <t xml:space="preserve">AI/AN total</t>
  </si>
  <si>
    <t xml:space="preserve">AI/AN foreign born</t>
  </si>
  <si>
    <t xml:space="preserve">% foreign born</t>
  </si>
  <si>
    <t xml:space="preserve">AI/AN Population by Hispanic Origin, Nativity, and IHS Reporting, United States, 2021</t>
  </si>
  <si>
    <t xml:space="preserve">ACS 1-Year PUMS, 2021. AI/AN alone or in combination. Native = born in the U.S. or its territories, or born abroad to U.S.-citizen parents.</t>
  </si>
  <si>
    <t xml:space="preserve">Source and Methods</t>
  </si>
  <si>
    <t xml:space="preserve">Dataset</t>
  </si>
  <si>
    <t xml:space="preserve">American Community Survey 1-Year Public Use Microdata Sample (PUMS), 2019 and 2021</t>
  </si>
  <si>
    <t xml:space="preserve">Producer</t>
  </si>
  <si>
    <t xml:space="preserve">U.S. Census Bureau</t>
  </si>
  <si>
    <t xml:space="preserve">Tool</t>
  </si>
  <si>
    <t xml:space="preserve">Census Bureau Microdata Access Tool (MDAT), data.census.gov/mdat</t>
  </si>
  <si>
    <t xml:space="preserve">Weight</t>
  </si>
  <si>
    <t xml:space="preserve">PUMS person weight (PWGTP)</t>
  </si>
  <si>
    <t xml:space="preserve">Geography</t>
  </si>
  <si>
    <t xml:space="preserve">United States</t>
  </si>
  <si>
    <t xml:space="preserve">Variables</t>
  </si>
  <si>
    <t xml:space="preserve">RACAIAN — AI/AN recode (alone or in combination); HINS7 — Indian Health Service; HISP — Recoded detailed Hispanic origin; NATIVITY — Nativity</t>
  </si>
  <si>
    <t xml:space="preserve">Extracted</t>
  </si>
  <si>
    <t xml:space="preserve">October 12, 2026, by Edward J. Fox, PhD</t>
  </si>
  <si>
    <t xml:space="preserve">Prepared by</t>
  </si>
  <si>
    <t xml:space="preserve">Edward J. Fox, PhD — edfoxphd.com</t>
  </si>
  <si>
    <t xml:space="preserve">Suggested citation</t>
  </si>
  <si>
    <t xml:space="preserve">U.S. Census Bureau, American Community Survey 1-Year PUMS (2019, 2021). Tabulated by Edward J. Fox, PhD, edfoxphd.com.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</si>
</sst>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\+#,##0;\-#,##0;0"/>
    <numFmt numFmtId="167" formatCode="0.0%"/>
    <numFmt numFmtId="168" formatCode="\+0.0&quot; pts&quot;;\-0.0&quot; pts&quot;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2B3A42"/>
      <name val="Arial"/>
      <family val="0"/>
      <charset val="1"/>
    </font>
    <font>
      <i val="true"/>
      <sz val="9"/>
      <color rgb="FF5C6B6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008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1"/>
      <color rgb="FF008000"/>
      <name val="Arial"/>
      <family val="0"/>
      <charset val="1"/>
    </font>
    <font>
      <b val="true"/>
      <sz val="11"/>
      <color rgb="FF2B3A42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B3A42"/>
        <bgColor rgb="FF333300"/>
      </patternFill>
    </fill>
    <fill>
      <patternFill patternType="solid">
        <fgColor rgb="FFF6F4E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8D4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B6F47"/>
      <rgbColor rgb="FF800080"/>
      <rgbColor rgb="FF008080"/>
      <rgbColor rgb="FFD8D4C8"/>
      <rgbColor rgb="FF878787"/>
      <rgbColor rgb="FF9999FF"/>
      <rgbColor rgb="FF993366"/>
      <rgbColor rgb="FFF6F4EF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B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B3A4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AI/AN by IHS reporting, 2019 vs 2021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"2019"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5c6b6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'Change 2019-2021'!$A$8:$A$9</c:f>
              <c:strCache>
                <c:ptCount val="2"/>
                <c:pt idx="0">
                  <c:v>  AI/AN reporting IHS coverage</c:v>
                </c:pt>
                <c:pt idx="1">
                  <c:v>  AI/AN not reporting IHS coverage</c:v>
                </c:pt>
              </c:strCache>
            </c:strRef>
          </c:cat>
          <c:val>
            <c:numRef>
              <c:f>'Change 2019-2021'!$B$8:$B$9</c:f>
              <c:numCache>
                <c:formatCode>#,##0</c:formatCode>
                <c:ptCount val="2"/>
                <c:pt idx="0">
                  <c:v>1508652</c:v>
                </c:pt>
                <c:pt idx="1">
                  <c:v>4138726</c:v>
                </c:pt>
              </c:numCache>
            </c:numRef>
          </c:val>
        </c:ser>
        <c:ser>
          <c:idx val="1"/>
          <c:order val="1"/>
          <c:tx>
            <c:strRef>
              <c:f>"2021"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8b6f47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'Change 2019-2021'!$A$8:$A$9</c:f>
              <c:strCache>
                <c:ptCount val="2"/>
                <c:pt idx="0">
                  <c:v>  AI/AN reporting IHS coverage</c:v>
                </c:pt>
                <c:pt idx="1">
                  <c:v>  AI/AN not reporting IHS coverage</c:v>
                </c:pt>
              </c:strCache>
            </c:strRef>
          </c:cat>
          <c:val>
            <c:numRef>
              <c:f>'Change 2019-2021'!$C$8:$C$9</c:f>
              <c:numCache>
                <c:formatCode>#,##0</c:formatCode>
                <c:ptCount val="2"/>
                <c:pt idx="0">
                  <c:v>1319875</c:v>
                </c:pt>
                <c:pt idx="1">
                  <c:v>7411418</c:v>
                </c:pt>
              </c:numCache>
            </c:numRef>
          </c:val>
        </c:ser>
        <c:gapWidth val="150"/>
        <c:overlap val="0"/>
        <c:axId val="21360774"/>
        <c:axId val="67017032"/>
      </c:barChart>
      <c:catAx>
        <c:axId val="2136077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7017032"/>
        <c:crosses val="autoZero"/>
        <c:auto val="1"/>
        <c:lblAlgn val="ctr"/>
        <c:lblOffset val="100"/>
        <c:noMultiLvlLbl val="0"/>
      </c:catAx>
      <c:valAx>
        <c:axId val="67017032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136077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AI/AN by Hispanic origin group, 2019 vs 2021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"2019"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5c6b6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'Change by Origin'!$A$7:$A$12</c:f>
              <c:strCache>
                <c:ptCount val="6"/>
                <c:pt idx="0">
                  <c:v>  Mexican</c:v>
                </c:pt>
                <c:pt idx="1">
                  <c:v>  Central American</c:v>
                </c:pt>
                <c:pt idx="2">
                  <c:v>  South American</c:v>
                </c:pt>
                <c:pt idx="3">
                  <c:v>  Caribbean</c:v>
                </c:pt>
                <c:pt idx="4">
                  <c:v>  Spaniard</c:v>
                </c:pt>
                <c:pt idx="5">
                  <c:v>  Other Hispanic</c:v>
                </c:pt>
              </c:strCache>
            </c:strRef>
          </c:cat>
          <c:val>
            <c:numRef>
              <c:f>'Change by Origin'!$B$7:$B$12</c:f>
              <c:numCache>
                <c:formatCode>#,##0</c:formatCode>
                <c:ptCount val="6"/>
                <c:pt idx="0">
                  <c:v>884008</c:v>
                </c:pt>
                <c:pt idx="1">
                  <c:v>126936</c:v>
                </c:pt>
                <c:pt idx="2">
                  <c:v>61866</c:v>
                </c:pt>
                <c:pt idx="3">
                  <c:v>180815</c:v>
                </c:pt>
                <c:pt idx="4">
                  <c:v>47697</c:v>
                </c:pt>
                <c:pt idx="5">
                  <c:v>84060</c:v>
                </c:pt>
              </c:numCache>
            </c:numRef>
          </c:val>
        </c:ser>
        <c:ser>
          <c:idx val="1"/>
          <c:order val="1"/>
          <c:tx>
            <c:strRef>
              <c:f>"2021"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8b6f47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'Change by Origin'!$A$7:$A$12</c:f>
              <c:strCache>
                <c:ptCount val="6"/>
                <c:pt idx="0">
                  <c:v>  Mexican</c:v>
                </c:pt>
                <c:pt idx="1">
                  <c:v>  Central American</c:v>
                </c:pt>
                <c:pt idx="2">
                  <c:v>  South American</c:v>
                </c:pt>
                <c:pt idx="3">
                  <c:v>  Caribbean</c:v>
                </c:pt>
                <c:pt idx="4">
                  <c:v>  Spaniard</c:v>
                </c:pt>
                <c:pt idx="5">
                  <c:v>  Other Hispanic</c:v>
                </c:pt>
              </c:strCache>
            </c:strRef>
          </c:cat>
          <c:val>
            <c:numRef>
              <c:f>'Change by Origin'!$C$7:$C$12</c:f>
              <c:numCache>
                <c:formatCode>#,##0</c:formatCode>
                <c:ptCount val="6"/>
                <c:pt idx="0">
                  <c:v>2051518</c:v>
                </c:pt>
                <c:pt idx="1">
                  <c:v>327607</c:v>
                </c:pt>
                <c:pt idx="2">
                  <c:v>142203</c:v>
                </c:pt>
                <c:pt idx="3">
                  <c:v>326944</c:v>
                </c:pt>
                <c:pt idx="4">
                  <c:v>97741</c:v>
                </c:pt>
                <c:pt idx="5">
                  <c:v>168009</c:v>
                </c:pt>
              </c:numCache>
            </c:numRef>
          </c:val>
        </c:ser>
        <c:gapWidth val="150"/>
        <c:overlap val="0"/>
        <c:axId val="59215762"/>
        <c:axId val="89306273"/>
      </c:barChart>
      <c:catAx>
        <c:axId val="59215762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9306273"/>
        <c:crosses val="autoZero"/>
        <c:auto val="1"/>
        <c:lblAlgn val="ctr"/>
        <c:lblOffset val="100"/>
        <c:noMultiLvlLbl val="0"/>
      </c:catAx>
      <c:valAx>
        <c:axId val="89306273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921576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AI/AN by origin and nativity, 2019 vs 2021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"2019"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5c6b6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'Change by Nativity'!$A$5:$A$8</c:f>
              <c:strCache>
                <c:ptCount val="4"/>
                <c:pt idx="0">
                  <c:v>Not Hispanic, U.S.-born</c:v>
                </c:pt>
                <c:pt idx="1">
                  <c:v>Not Hispanic, foreign-born</c:v>
                </c:pt>
                <c:pt idx="2">
                  <c:v>Hispanic, U.S.-born</c:v>
                </c:pt>
                <c:pt idx="3">
                  <c:v>Hispanic, foreign-born</c:v>
                </c:pt>
              </c:strCache>
            </c:strRef>
          </c:cat>
          <c:val>
            <c:numRef>
              <c:f>'Change by Nativity'!$B$5:$B$8</c:f>
              <c:numCache>
                <c:formatCode>#,##0</c:formatCode>
                <c:ptCount val="4"/>
                <c:pt idx="0">
                  <c:v>4201613</c:v>
                </c:pt>
                <c:pt idx="1">
                  <c:v>60383</c:v>
                </c:pt>
                <c:pt idx="2">
                  <c:v>1113666</c:v>
                </c:pt>
                <c:pt idx="3">
                  <c:v>271716</c:v>
                </c:pt>
              </c:numCache>
            </c:numRef>
          </c:val>
        </c:ser>
        <c:ser>
          <c:idx val="1"/>
          <c:order val="1"/>
          <c:tx>
            <c:strRef>
              <c:f>"2021"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8b6f47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'Change by Nativity'!$A$5:$A$8</c:f>
              <c:strCache>
                <c:ptCount val="4"/>
                <c:pt idx="0">
                  <c:v>Not Hispanic, U.S.-born</c:v>
                </c:pt>
                <c:pt idx="1">
                  <c:v>Not Hispanic, foreign-born</c:v>
                </c:pt>
                <c:pt idx="2">
                  <c:v>Hispanic, U.S.-born</c:v>
                </c:pt>
                <c:pt idx="3">
                  <c:v>Hispanic, foreign-born</c:v>
                </c:pt>
              </c:strCache>
            </c:strRef>
          </c:cat>
          <c:val>
            <c:numRef>
              <c:f>'Change by Nativity'!$C$5:$C$8</c:f>
              <c:numCache>
                <c:formatCode>#,##0</c:formatCode>
                <c:ptCount val="4"/>
                <c:pt idx="0">
                  <c:v>5550495</c:v>
                </c:pt>
                <c:pt idx="1">
                  <c:v>66776</c:v>
                </c:pt>
                <c:pt idx="2">
                  <c:v>2263803</c:v>
                </c:pt>
                <c:pt idx="3">
                  <c:v>850219</c:v>
                </c:pt>
              </c:numCache>
            </c:numRef>
          </c:val>
        </c:ser>
        <c:gapWidth val="150"/>
        <c:overlap val="0"/>
        <c:axId val="57391302"/>
        <c:axId val="40654077"/>
      </c:barChart>
      <c:catAx>
        <c:axId val="57391302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0654077"/>
        <c:crosses val="autoZero"/>
        <c:auto val="1"/>
        <c:lblAlgn val="ctr"/>
        <c:lblOffset val="100"/>
        <c:noMultiLvlLbl val="0"/>
      </c:catAx>
      <c:valAx>
        <c:axId val="40654077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739130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2</xdr:row>
      <xdr:rowOff>176040</xdr:rowOff>
    </xdr:from>
    <xdr:to>
      <xdr:col>17</xdr:col>
      <xdr:colOff>364320</xdr:colOff>
      <xdr:row>18</xdr:row>
      <xdr:rowOff>129600</xdr:rowOff>
    </xdr:to>
    <xdr:graphicFrame>
      <xdr:nvGraphicFramePr>
        <xdr:cNvPr id="0" name="Chart 1"/>
        <xdr:cNvGraphicFramePr/>
      </xdr:nvGraphicFramePr>
      <xdr:xfrm>
        <a:off x="8858160" y="571680"/>
        <a:ext cx="64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2</xdr:row>
      <xdr:rowOff>176040</xdr:rowOff>
    </xdr:from>
    <xdr:to>
      <xdr:col>18</xdr:col>
      <xdr:colOff>364680</xdr:colOff>
      <xdr:row>18</xdr:row>
      <xdr:rowOff>129600</xdr:rowOff>
    </xdr:to>
    <xdr:graphicFrame>
      <xdr:nvGraphicFramePr>
        <xdr:cNvPr id="1" name="Chart 1"/>
        <xdr:cNvGraphicFramePr/>
      </xdr:nvGraphicFramePr>
      <xdr:xfrm>
        <a:off x="8435520" y="571680"/>
        <a:ext cx="64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2</xdr:row>
      <xdr:rowOff>176040</xdr:rowOff>
    </xdr:from>
    <xdr:to>
      <xdr:col>17</xdr:col>
      <xdr:colOff>364680</xdr:colOff>
      <xdr:row>16</xdr:row>
      <xdr:rowOff>150480</xdr:rowOff>
    </xdr:to>
    <xdr:graphicFrame>
      <xdr:nvGraphicFramePr>
        <xdr:cNvPr id="2" name="Chart 1"/>
        <xdr:cNvGraphicFramePr/>
      </xdr:nvGraphicFramePr>
      <xdr:xfrm>
        <a:off x="7518960" y="57168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12"/>
    <col collapsed="false" customWidth="true" hidden="false" outlineLevel="0" max="6" min="6" style="0" width="14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3.75" hidden="false" customHeight="true" outlineLevel="0" collapsed="false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customFormat="false" ht="15" hidden="false" customHeight="false" outlineLevel="0" collapsed="false">
      <c r="A5" s="5" t="s">
        <v>8</v>
      </c>
      <c r="B5" s="6" t="n">
        <f aca="false">'2019 1-Year'!D7</f>
        <v>328239523</v>
      </c>
      <c r="C5" s="6" t="n">
        <f aca="false">'2021 1-Year'!D7</f>
        <v>331893745</v>
      </c>
      <c r="D5" s="7" t="n">
        <f aca="false">C5-B5</f>
        <v>3654222</v>
      </c>
      <c r="E5" s="8" t="n">
        <f aca="false">IF(B5=0,0,C5/B5-1)</f>
        <v>0.0111327909771548</v>
      </c>
      <c r="F5" s="8"/>
    </row>
    <row r="6" customFormat="false" ht="15" hidden="false" customHeight="false" outlineLevel="0" collapsed="false">
      <c r="A6" s="5" t="s">
        <v>9</v>
      </c>
      <c r="B6" s="6" t="n">
        <f aca="false">'2019 1-Year'!B7</f>
        <v>322592145</v>
      </c>
      <c r="C6" s="6" t="n">
        <f aca="false">'2021 1-Year'!B7</f>
        <v>323162452</v>
      </c>
      <c r="D6" s="7" t="n">
        <f aca="false">C6-B6</f>
        <v>570307</v>
      </c>
      <c r="E6" s="8" t="n">
        <f aca="false">IF(B6=0,0,C6/B6-1)</f>
        <v>0.0017678886756527</v>
      </c>
      <c r="F6" s="8"/>
    </row>
    <row r="7" customFormat="false" ht="15" hidden="false" customHeight="false" outlineLevel="0" collapsed="false">
      <c r="A7" s="9" t="s">
        <v>10</v>
      </c>
      <c r="B7" s="10" t="n">
        <f aca="false">'2019 1-Year'!C7</f>
        <v>5647378</v>
      </c>
      <c r="C7" s="10" t="n">
        <f aca="false">'2021 1-Year'!C7</f>
        <v>8731293</v>
      </c>
      <c r="D7" s="11" t="n">
        <f aca="false">C7-B7</f>
        <v>3083915</v>
      </c>
      <c r="E7" s="12" t="n">
        <f aca="false">IF(B7=0,0,C7/B7-1)</f>
        <v>0.546079083071826</v>
      </c>
      <c r="F7" s="12" t="n">
        <f aca="false">D7/$D$7</f>
        <v>1</v>
      </c>
    </row>
    <row r="8" customFormat="false" ht="15" hidden="false" customHeight="false" outlineLevel="0" collapsed="false">
      <c r="A8" s="5" t="s">
        <v>11</v>
      </c>
      <c r="B8" s="6" t="n">
        <f aca="false">'2019 1-Year'!C5</f>
        <v>1508652</v>
      </c>
      <c r="C8" s="6" t="n">
        <f aca="false">'2021 1-Year'!C5</f>
        <v>1319875</v>
      </c>
      <c r="D8" s="7" t="n">
        <f aca="false">C8-B8</f>
        <v>-188777</v>
      </c>
      <c r="E8" s="8" t="n">
        <f aca="false">IF(B8=0,0,C8/B8-1)</f>
        <v>-0.125129585881966</v>
      </c>
      <c r="F8" s="8" t="n">
        <f aca="false">D8/$D$7</f>
        <v>-0.0612134251430406</v>
      </c>
    </row>
    <row r="9" customFormat="false" ht="15" hidden="false" customHeight="false" outlineLevel="0" collapsed="false">
      <c r="A9" s="5" t="s">
        <v>12</v>
      </c>
      <c r="B9" s="6" t="n">
        <f aca="false">'2019 1-Year'!C6</f>
        <v>4138726</v>
      </c>
      <c r="C9" s="6" t="n">
        <f aca="false">'2021 1-Year'!C6</f>
        <v>7411418</v>
      </c>
      <c r="D9" s="7" t="n">
        <f aca="false">C9-B9</f>
        <v>3272692</v>
      </c>
      <c r="E9" s="8" t="n">
        <f aca="false">IF(B9=0,0,C9/B9-1)</f>
        <v>0.790748650671729</v>
      </c>
      <c r="F9" s="8" t="n">
        <f aca="false">D9/$D$7</f>
        <v>1.06121342514304</v>
      </c>
    </row>
    <row r="10" customFormat="false" ht="15" hidden="false" customHeight="false" outlineLevel="0" collapsed="false">
      <c r="A10" s="5" t="s">
        <v>13</v>
      </c>
      <c r="B10" s="6" t="n">
        <f aca="false">'2019 1-Year'!B5</f>
        <v>254108</v>
      </c>
      <c r="C10" s="6" t="n">
        <f aca="false">'2021 1-Year'!B5</f>
        <v>238200</v>
      </c>
      <c r="D10" s="7" t="n">
        <f aca="false">C10-B10</f>
        <v>-15908</v>
      </c>
      <c r="E10" s="8" t="n">
        <f aca="false">IF(B10=0,0,C10/B10-1)</f>
        <v>-0.0626033025327814</v>
      </c>
      <c r="F10" s="8"/>
    </row>
    <row r="12" customFormat="false" ht="15" hidden="false" customHeight="false" outlineLevel="0" collapsed="false">
      <c r="A12" s="13" t="s">
        <v>14</v>
      </c>
    </row>
    <row r="13" customFormat="false" ht="15" hidden="false" customHeight="false" outlineLevel="0" collapsed="false">
      <c r="A13" s="5" t="s">
        <v>15</v>
      </c>
      <c r="B13" s="8" t="n">
        <f aca="false">B7/B5</f>
        <v>0.0172050518121183</v>
      </c>
      <c r="C13" s="8" t="n">
        <f aca="false">C7/C5</f>
        <v>0.0263074948881607</v>
      </c>
      <c r="D13" s="14" t="n">
        <f aca="false">(C13-B13)*100</f>
        <v>0.910244307604236</v>
      </c>
    </row>
    <row r="14" customFormat="false" ht="15" hidden="false" customHeight="false" outlineLevel="0" collapsed="false">
      <c r="A14" s="5" t="s">
        <v>16</v>
      </c>
      <c r="B14" s="8" t="n">
        <f aca="false">B8/B7</f>
        <v>0.267142025910077</v>
      </c>
      <c r="C14" s="8" t="n">
        <f aca="false">C8/C7</f>
        <v>0.151166041501528</v>
      </c>
      <c r="D14" s="14" t="n">
        <f aca="false">(C14-B14)*100</f>
        <v>-11.5975984408549</v>
      </c>
    </row>
    <row r="15" customFormat="false" ht="15" hidden="false" customHeight="false" outlineLevel="0" collapsed="false">
      <c r="A15" s="5" t="s">
        <v>17</v>
      </c>
      <c r="B15" s="8" t="n">
        <f aca="false">B8/(B8+B10)</f>
        <v>0.855846513422134</v>
      </c>
      <c r="C15" s="8" t="n">
        <f aca="false">C8/(C8+C10)</f>
        <v>0.847119041124465</v>
      </c>
      <c r="D15" s="14" t="n">
        <f aca="false">(C15-B15)*100</f>
        <v>-0.872747229766901</v>
      </c>
    </row>
    <row r="17" customFormat="false" ht="15" hidden="false" customHeight="false" outlineLevel="0" collapsed="false">
      <c r="A17" s="2" t="s">
        <v>18</v>
      </c>
    </row>
    <row r="18" customFormat="false" ht="15" hidden="false" customHeight="false" outlineLevel="0" collapsed="false">
      <c r="A18" s="2" t="s">
        <v>19</v>
      </c>
    </row>
    <row r="19" customFormat="false" ht="15" hidden="false" customHeight="false" outlineLevel="0" collapsed="false">
      <c r="A19" s="2" t="s">
        <v>20</v>
      </c>
    </row>
    <row r="20" customFormat="false" ht="15" hidden="false" customHeight="false" outlineLevel="0" collapsed="false">
      <c r="A20" s="2" t="s">
        <v>21</v>
      </c>
    </row>
    <row r="21" customFormat="false" ht="15" hidden="false" customHeight="false" outlineLevel="0" collapsed="false">
      <c r="A21" s="2" t="s">
        <v>22</v>
      </c>
    </row>
    <row r="22" customFormat="false" ht="15" hidden="false" customHeight="false" outlineLevel="0" collapsed="false">
      <c r="A22" s="2" t="s"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4"/>
    <col collapsed="false" customWidth="true" hidden="false" outlineLevel="0" max="5" min="5" style="0" width="11"/>
    <col collapsed="false" customWidth="true" hidden="false" outlineLevel="0" max="6" min="6" style="0" width="13"/>
    <col collapsed="false" customWidth="true" hidden="false" outlineLevel="0" max="7" min="7" style="0" width="15"/>
  </cols>
  <sheetData>
    <row r="1" customFormat="false" ht="16.15" hidden="false" customHeight="false" outlineLevel="0" collapsed="false">
      <c r="A1" s="1" t="s">
        <v>24</v>
      </c>
    </row>
    <row r="2" customFormat="false" ht="15" hidden="false" customHeight="false" outlineLevel="0" collapsed="false">
      <c r="A2" s="2" t="s">
        <v>25</v>
      </c>
    </row>
    <row r="4" customFormat="false" ht="33.75" hidden="false" customHeight="true" outlineLevel="0" collapsed="false">
      <c r="A4" s="3" t="s">
        <v>26</v>
      </c>
      <c r="B4" s="4" t="s">
        <v>27</v>
      </c>
      <c r="C4" s="4" t="s">
        <v>28</v>
      </c>
      <c r="D4" s="4" t="s">
        <v>5</v>
      </c>
      <c r="E4" s="4" t="s">
        <v>6</v>
      </c>
      <c r="F4" s="4" t="s">
        <v>7</v>
      </c>
      <c r="G4" s="4" t="s">
        <v>29</v>
      </c>
    </row>
    <row r="5" customFormat="false" ht="15" hidden="false" customHeight="false" outlineLevel="0" collapsed="false">
      <c r="A5" s="15" t="s">
        <v>30</v>
      </c>
      <c r="B5" s="16" t="n">
        <f aca="false">SUMIFS('Origin 2019'!D$5:D$40,'Origin 2019'!$B$5:$B$40,"Not Hispanic")</f>
        <v>4261996</v>
      </c>
      <c r="C5" s="16" t="n">
        <f aca="false">SUMIFS('Origin 2021'!D$5:D$40,'Origin 2021'!$B$5:$B$40,"Not Hispanic")</f>
        <v>5617271</v>
      </c>
      <c r="D5" s="17" t="n">
        <f aca="false">C5-B5</f>
        <v>1355275</v>
      </c>
      <c r="E5" s="18" t="n">
        <f aca="false">IF(B5=0,0,C5/B5-1)</f>
        <v>0.317990678545921</v>
      </c>
      <c r="F5" s="18" t="n">
        <f aca="false">D5/$D$13</f>
        <v>0.43946574402991</v>
      </c>
      <c r="G5" s="17" t="n">
        <f aca="false">SUMIFS('Origin 2021'!F$5:F$40,'Origin 2021'!$B$5:$B$40,"Not Hispanic")-SUMIFS('Origin 2019'!F$5:F$40,'Origin 2019'!$B$5:$B$40,"Not Hispanic")</f>
        <v>1569789</v>
      </c>
    </row>
    <row r="6" customFormat="false" ht="15" hidden="false" customHeight="false" outlineLevel="0" collapsed="false">
      <c r="A6" s="15" t="s">
        <v>31</v>
      </c>
      <c r="B6" s="16" t="n">
        <f aca="false">'Origin 2019'!D29-SUMIFS('Origin 2019'!D$5:D$40,'Origin 2019'!$B$5:$B$40,"Not Hispanic")</f>
        <v>1385382</v>
      </c>
      <c r="C6" s="16" t="n">
        <f aca="false">'Origin 2021'!D29-SUMIFS('Origin 2021'!D$5:D$40,'Origin 2021'!$B$5:$B$40,"Not Hispanic")</f>
        <v>3114022</v>
      </c>
      <c r="D6" s="17" t="n">
        <f aca="false">C6-B6</f>
        <v>1728640</v>
      </c>
      <c r="E6" s="18" t="n">
        <f aca="false">IF(B6=0,0,C6/B6-1)</f>
        <v>1.24777137280548</v>
      </c>
      <c r="F6" s="18" t="n">
        <f aca="false">D6/$D$13</f>
        <v>0.56053425597009</v>
      </c>
      <c r="G6" s="17" t="n">
        <f aca="false">('Origin 2021'!F29-SUMIFS('Origin 2021'!F$5:F$40,'Origin 2021'!$B$5:$B$40,"Not Hispanic"))-('Origin 2019'!F29-SUMIFS('Origin 2019'!F$5:F$40,'Origin 2019'!$B$5:$B$40,"Not Hispanic"))</f>
        <v>1702903</v>
      </c>
    </row>
    <row r="7" customFormat="false" ht="15" hidden="false" customHeight="false" outlineLevel="0" collapsed="false">
      <c r="A7" s="5" t="s">
        <v>32</v>
      </c>
      <c r="B7" s="19" t="n">
        <f aca="false">SUMIFS('Origin 2019'!D$5:D$40,'Origin 2019'!$B$5:$B$40,"Mexican")</f>
        <v>884008</v>
      </c>
      <c r="C7" s="19" t="n">
        <f aca="false">SUMIFS('Origin 2021'!D$5:D$40,'Origin 2021'!$B$5:$B$40,"Mexican")</f>
        <v>2051518</v>
      </c>
      <c r="D7" s="7" t="n">
        <f aca="false">C7-B7</f>
        <v>1167510</v>
      </c>
      <c r="E7" s="8" t="n">
        <f aca="false">IF(B7=0,0,C7/B7-1)</f>
        <v>1.32070071764056</v>
      </c>
      <c r="F7" s="8" t="n">
        <f aca="false">D7/$D$13</f>
        <v>0.378580473197219</v>
      </c>
      <c r="G7" s="7" t="n">
        <f aca="false">SUMIFS('Origin 2021'!F$5:F$40,'Origin 2021'!$B$5:$B$40,"Mexican")-SUMIFS('Origin 2019'!F$5:F$40,'Origin 2019'!$B$5:$B$40,"Mexican")</f>
        <v>1147810</v>
      </c>
    </row>
    <row r="8" customFormat="false" ht="15" hidden="false" customHeight="false" outlineLevel="0" collapsed="false">
      <c r="A8" s="5" t="s">
        <v>33</v>
      </c>
      <c r="B8" s="19" t="n">
        <f aca="false">SUMIFS('Origin 2019'!D$5:D$40,'Origin 2019'!$B$5:$B$40,"Central American")</f>
        <v>126936</v>
      </c>
      <c r="C8" s="19" t="n">
        <f aca="false">SUMIFS('Origin 2021'!D$5:D$40,'Origin 2021'!$B$5:$B$40,"Central American")</f>
        <v>327607</v>
      </c>
      <c r="D8" s="7" t="n">
        <f aca="false">C8-B8</f>
        <v>200671</v>
      </c>
      <c r="E8" s="8" t="n">
        <f aca="false">IF(B8=0,0,C8/B8-1)</f>
        <v>1.58088327976303</v>
      </c>
      <c r="F8" s="8" t="n">
        <f aca="false">D8/$D$13</f>
        <v>0.0650702110790991</v>
      </c>
      <c r="G8" s="7" t="n">
        <f aca="false">SUMIFS('Origin 2021'!F$5:F$40,'Origin 2021'!$B$5:$B$40,"Central American")-SUMIFS('Origin 2019'!F$5:F$40,'Origin 2019'!$B$5:$B$40,"Central American")</f>
        <v>201623</v>
      </c>
    </row>
    <row r="9" customFormat="false" ht="15" hidden="false" customHeight="false" outlineLevel="0" collapsed="false">
      <c r="A9" s="5" t="s">
        <v>34</v>
      </c>
      <c r="B9" s="19" t="n">
        <f aca="false">SUMIFS('Origin 2019'!D$5:D$40,'Origin 2019'!$B$5:$B$40,"South American")</f>
        <v>61866</v>
      </c>
      <c r="C9" s="19" t="n">
        <f aca="false">SUMIFS('Origin 2021'!D$5:D$40,'Origin 2021'!$B$5:$B$40,"South American")</f>
        <v>142203</v>
      </c>
      <c r="D9" s="7" t="n">
        <f aca="false">C9-B9</f>
        <v>80337</v>
      </c>
      <c r="E9" s="8" t="n">
        <f aca="false">IF(B9=0,0,C9/B9-1)</f>
        <v>1.29856463970517</v>
      </c>
      <c r="F9" s="8" t="n">
        <f aca="false">D9/$D$13</f>
        <v>0.0260503288839024</v>
      </c>
      <c r="G9" s="7" t="n">
        <f aca="false">SUMIFS('Origin 2021'!F$5:F$40,'Origin 2021'!$B$5:$B$40,"South American")-SUMIFS('Origin 2019'!F$5:F$40,'Origin 2019'!$B$5:$B$40,"South American")</f>
        <v>80757</v>
      </c>
    </row>
    <row r="10" customFormat="false" ht="15" hidden="false" customHeight="false" outlineLevel="0" collapsed="false">
      <c r="A10" s="5" t="s">
        <v>35</v>
      </c>
      <c r="B10" s="19" t="n">
        <f aca="false">SUMIFS('Origin 2019'!D$5:D$40,'Origin 2019'!$B$5:$B$40,"Caribbean")</f>
        <v>180815</v>
      </c>
      <c r="C10" s="19" t="n">
        <f aca="false">SUMIFS('Origin 2021'!D$5:D$40,'Origin 2021'!$B$5:$B$40,"Caribbean")</f>
        <v>326944</v>
      </c>
      <c r="D10" s="7" t="n">
        <f aca="false">C10-B10</f>
        <v>146129</v>
      </c>
      <c r="E10" s="8" t="n">
        <f aca="false">IF(B10=0,0,C10/B10-1)</f>
        <v>0.808168570085446</v>
      </c>
      <c r="F10" s="8" t="n">
        <f aca="false">D10/$D$13</f>
        <v>0.047384250214419</v>
      </c>
      <c r="G10" s="7" t="n">
        <f aca="false">SUMIFS('Origin 2021'!F$5:F$40,'Origin 2021'!$B$5:$B$40,"Caribbean")-SUMIFS('Origin 2019'!F$5:F$40,'Origin 2019'!$B$5:$B$40,"Caribbean")</f>
        <v>142788</v>
      </c>
    </row>
    <row r="11" customFormat="false" ht="15" hidden="false" customHeight="false" outlineLevel="0" collapsed="false">
      <c r="A11" s="5" t="s">
        <v>36</v>
      </c>
      <c r="B11" s="19" t="n">
        <f aca="false">SUMIFS('Origin 2019'!D$5:D$40,'Origin 2019'!$B$5:$B$40,"Spaniard")</f>
        <v>47697</v>
      </c>
      <c r="C11" s="19" t="n">
        <f aca="false">SUMIFS('Origin 2021'!D$5:D$40,'Origin 2021'!$B$5:$B$40,"Spaniard")</f>
        <v>97741</v>
      </c>
      <c r="D11" s="7" t="n">
        <f aca="false">C11-B11</f>
        <v>50044</v>
      </c>
      <c r="E11" s="8" t="n">
        <f aca="false">IF(B11=0,0,C11/B11-1)</f>
        <v>1.04920644904292</v>
      </c>
      <c r="F11" s="8" t="n">
        <f aca="false">D11/$D$13</f>
        <v>0.0162274252046506</v>
      </c>
      <c r="G11" s="7" t="n">
        <f aca="false">SUMIFS('Origin 2021'!F$5:F$40,'Origin 2021'!$B$5:$B$40,"Spaniard")-SUMIFS('Origin 2019'!F$5:F$40,'Origin 2019'!$B$5:$B$40,"Spaniard")</f>
        <v>49970</v>
      </c>
    </row>
    <row r="12" customFormat="false" ht="15" hidden="false" customHeight="false" outlineLevel="0" collapsed="false">
      <c r="A12" s="5" t="s">
        <v>37</v>
      </c>
      <c r="B12" s="19" t="n">
        <f aca="false">SUMIFS('Origin 2019'!D$5:D$40,'Origin 2019'!$B$5:$B$40,"Other Hispanic")</f>
        <v>84060</v>
      </c>
      <c r="C12" s="19" t="n">
        <f aca="false">SUMIFS('Origin 2021'!D$5:D$40,'Origin 2021'!$B$5:$B$40,"Other Hispanic")</f>
        <v>168009</v>
      </c>
      <c r="D12" s="7" t="n">
        <f aca="false">C12-B12</f>
        <v>83949</v>
      </c>
      <c r="E12" s="8" t="n">
        <f aca="false">IF(B12=0,0,C12/B12-1)</f>
        <v>0.998679514632406</v>
      </c>
      <c r="F12" s="8" t="n">
        <f aca="false">D12/$D$13</f>
        <v>0.0272215673908003</v>
      </c>
      <c r="G12" s="7" t="n">
        <f aca="false">SUMIFS('Origin 2021'!F$5:F$40,'Origin 2021'!$B$5:$B$40,"Other Hispanic")-SUMIFS('Origin 2019'!F$5:F$40,'Origin 2019'!$B$5:$B$40,"Other Hispanic")</f>
        <v>79955</v>
      </c>
    </row>
    <row r="13" customFormat="false" ht="15" hidden="false" customHeight="false" outlineLevel="0" collapsed="false">
      <c r="A13" s="9" t="s">
        <v>38</v>
      </c>
      <c r="B13" s="20" t="n">
        <f aca="false">B5+B6</f>
        <v>5647378</v>
      </c>
      <c r="C13" s="20" t="n">
        <f aca="false">C5+C6</f>
        <v>8731293</v>
      </c>
      <c r="D13" s="11" t="n">
        <f aca="false">D5+D6</f>
        <v>3083915</v>
      </c>
      <c r="E13" s="12" t="n">
        <f aca="false">C13/B13-1</f>
        <v>0.546079083071826</v>
      </c>
      <c r="F13" s="12" t="n">
        <f aca="false">D13/$D$13</f>
        <v>1</v>
      </c>
      <c r="G13" s="11" t="n">
        <f aca="false">G5+G6</f>
        <v>3272692</v>
      </c>
    </row>
    <row r="15" customFormat="false" ht="15" hidden="false" customHeight="false" outlineLevel="0" collapsed="false">
      <c r="A15" s="13" t="s">
        <v>39</v>
      </c>
      <c r="B15" s="21" t="n">
        <f aca="false">B6/B13</f>
        <v>0.245314197137149</v>
      </c>
      <c r="C15" s="21" t="n">
        <f aca="false">C6/C13</f>
        <v>0.356650727446668</v>
      </c>
    </row>
    <row r="17" customFormat="false" ht="15" hidden="false" customHeight="false" outlineLevel="0" collapsed="false">
      <c r="A17" s="2" t="s">
        <v>40</v>
      </c>
    </row>
    <row r="18" customFormat="false" ht="15" hidden="false" customHeight="false" outlineLevel="0" collapsed="false">
      <c r="A18" s="2" t="s">
        <v>41</v>
      </c>
    </row>
    <row r="19" customFormat="false" ht="15" hidden="false" customHeight="false" outlineLevel="0" collapsed="false">
      <c r="A19" s="2" t="s">
        <v>42</v>
      </c>
    </row>
    <row r="20" customFormat="false" ht="15" hidden="false" customHeight="false" outlineLevel="0" collapsed="false">
      <c r="A20" s="2" t="s"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4" min="2" style="0" width="14"/>
    <col collapsed="false" customWidth="true" hidden="false" outlineLevel="0" max="5" min="5" style="0" width="11"/>
    <col collapsed="false" customWidth="true" hidden="false" outlineLevel="0" max="6" min="6" style="0" width="13"/>
  </cols>
  <sheetData>
    <row r="1" customFormat="false" ht="16.15" hidden="false" customHeight="false" outlineLevel="0" collapsed="false">
      <c r="A1" s="1" t="s">
        <v>43</v>
      </c>
    </row>
    <row r="2" customFormat="false" ht="15" hidden="false" customHeight="false" outlineLevel="0" collapsed="false">
      <c r="A2" s="2" t="s">
        <v>44</v>
      </c>
    </row>
    <row r="4" customFormat="false" ht="33.75" hidden="false" customHeight="true" outlineLevel="0" collapsed="false">
      <c r="A4" s="3" t="s">
        <v>45</v>
      </c>
      <c r="B4" s="4" t="s">
        <v>27</v>
      </c>
      <c r="C4" s="4" t="s">
        <v>28</v>
      </c>
      <c r="D4" s="4" t="s">
        <v>5</v>
      </c>
      <c r="E4" s="4" t="s">
        <v>6</v>
      </c>
      <c r="F4" s="4" t="s">
        <v>7</v>
      </c>
    </row>
    <row r="5" customFormat="false" ht="15" hidden="false" customHeight="false" outlineLevel="0" collapsed="false">
      <c r="A5" s="5" t="s">
        <v>46</v>
      </c>
      <c r="B5" s="19" t="n">
        <f aca="false">SUMIFS('Nativity 2019'!C$5:C$28,'Nativity 2019'!$B$5:$B$28,"Not Hispanic")+SUMIFS('Nativity 2019'!E$5:E$28,'Nativity 2019'!$B$5:$B$28,"Not Hispanic")</f>
        <v>4201613</v>
      </c>
      <c r="C5" s="19" t="n">
        <f aca="false">SUMIFS('Nativity 2021'!C$5:C$28,'Nativity 2021'!$B$5:$B$28,"Not Hispanic")+SUMIFS('Nativity 2021'!E$5:E$28,'Nativity 2021'!$B$5:$B$28,"Not Hispanic")</f>
        <v>5550495</v>
      </c>
      <c r="D5" s="7" t="n">
        <f aca="false">C5-B5</f>
        <v>1348882</v>
      </c>
      <c r="E5" s="8" t="n">
        <f aca="false">IF(B5=0,0,C5/B5-1)</f>
        <v>0.32103908665553</v>
      </c>
      <c r="F5" s="8" t="n">
        <f aca="false">D5/$D$9</f>
        <v>0.437392729695857</v>
      </c>
    </row>
    <row r="6" customFormat="false" ht="15" hidden="false" customHeight="false" outlineLevel="0" collapsed="false">
      <c r="A6" s="5" t="s">
        <v>47</v>
      </c>
      <c r="B6" s="19" t="n">
        <f aca="false">SUMIFS('Nativity 2019'!D$5:D$28,'Nativity 2019'!$B$5:$B$28,"Not Hispanic")+SUMIFS('Nativity 2019'!F$5:F$28,'Nativity 2019'!$B$5:$B$28,"Not Hispanic")</f>
        <v>60383</v>
      </c>
      <c r="C6" s="19" t="n">
        <f aca="false">SUMIFS('Nativity 2021'!D$5:D$28,'Nativity 2021'!$B$5:$B$28,"Not Hispanic")+SUMIFS('Nativity 2021'!F$5:F$28,'Nativity 2021'!$B$5:$B$28,"Not Hispanic")</f>
        <v>66776</v>
      </c>
      <c r="D6" s="7" t="n">
        <f aca="false">C6-B6</f>
        <v>6393</v>
      </c>
      <c r="E6" s="8" t="n">
        <f aca="false">IF(B6=0,0,C6/B6-1)</f>
        <v>0.105874169882252</v>
      </c>
      <c r="F6" s="8" t="n">
        <f aca="false">D6/$D$9</f>
        <v>0.00207301433405266</v>
      </c>
    </row>
    <row r="7" customFormat="false" ht="15" hidden="false" customHeight="false" outlineLevel="0" collapsed="false">
      <c r="A7" s="5" t="s">
        <v>48</v>
      </c>
      <c r="B7" s="19" t="n">
        <f aca="false">('Nativity 2019'!C29+'Nativity 2019'!E29)-(SUMIFS('Nativity 2019'!C$5:C$28,'Nativity 2019'!$B$5:$B$28,"Not Hispanic")+SUMIFS('Nativity 2019'!E$5:E$28,'Nativity 2019'!$B$5:$B$28,"Not Hispanic"))</f>
        <v>1113666</v>
      </c>
      <c r="C7" s="19" t="n">
        <f aca="false">('Nativity 2021'!C29+'Nativity 2021'!E29)-(SUMIFS('Nativity 2021'!C$5:C$28,'Nativity 2021'!$B$5:$B$28,"Not Hispanic")+SUMIFS('Nativity 2021'!E$5:E$28,'Nativity 2021'!$B$5:$B$28,"Not Hispanic"))</f>
        <v>2263803</v>
      </c>
      <c r="D7" s="7" t="n">
        <f aca="false">C7-B7</f>
        <v>1150137</v>
      </c>
      <c r="E7" s="8" t="n">
        <f aca="false">IF(B7=0,0,C7/B7-1)</f>
        <v>1.03274859787405</v>
      </c>
      <c r="F7" s="8" t="n">
        <f aca="false">D7/$D$9</f>
        <v>0.372947049448509</v>
      </c>
    </row>
    <row r="8" customFormat="false" ht="15" hidden="false" customHeight="false" outlineLevel="0" collapsed="false">
      <c r="A8" s="5" t="s">
        <v>49</v>
      </c>
      <c r="B8" s="19" t="n">
        <f aca="false">('Nativity 2019'!D29+'Nativity 2019'!F29)-(SUMIFS('Nativity 2019'!D$5:D$28,'Nativity 2019'!$B$5:$B$28,"Not Hispanic")+SUMIFS('Nativity 2019'!F$5:F$28,'Nativity 2019'!$B$5:$B$28,"Not Hispanic"))</f>
        <v>271716</v>
      </c>
      <c r="C8" s="19" t="n">
        <f aca="false">('Nativity 2021'!D29+'Nativity 2021'!F29)-(SUMIFS('Nativity 2021'!D$5:D$28,'Nativity 2021'!$B$5:$B$28,"Not Hispanic")+SUMIFS('Nativity 2021'!F$5:F$28,'Nativity 2021'!$B$5:$B$28,"Not Hispanic"))</f>
        <v>850219</v>
      </c>
      <c r="D8" s="7" t="n">
        <f aca="false">C8-B8</f>
        <v>578503</v>
      </c>
      <c r="E8" s="8" t="n">
        <f aca="false">IF(B8=0,0,C8/B8-1)</f>
        <v>2.12907226663134</v>
      </c>
      <c r="F8" s="8" t="n">
        <f aca="false">D8/$D$9</f>
        <v>0.187587206521581</v>
      </c>
    </row>
    <row r="9" customFormat="false" ht="15" hidden="false" customHeight="false" outlineLevel="0" collapsed="false">
      <c r="A9" s="9" t="s">
        <v>38</v>
      </c>
      <c r="B9" s="20" t="n">
        <f aca="false">SUM(B5:B8)</f>
        <v>5647378</v>
      </c>
      <c r="C9" s="20" t="n">
        <f aca="false">SUM(C5:C8)</f>
        <v>8731293</v>
      </c>
      <c r="D9" s="11" t="n">
        <f aca="false">C9-B9</f>
        <v>3083915</v>
      </c>
      <c r="E9" s="12" t="n">
        <f aca="false">IF(B9=0,0,C9/B9-1)</f>
        <v>0.546079083071826</v>
      </c>
      <c r="F9" s="12" t="n">
        <f aca="false">D9/$D$9</f>
        <v>1</v>
      </c>
    </row>
    <row r="11" customFormat="false" ht="15" hidden="false" customHeight="false" outlineLevel="0" collapsed="false">
      <c r="A11" s="13" t="s">
        <v>50</v>
      </c>
    </row>
    <row r="12" customFormat="false" ht="15" hidden="false" customHeight="false" outlineLevel="0" collapsed="false">
      <c r="A12" s="5" t="s">
        <v>51</v>
      </c>
      <c r="B12" s="19" t="n">
        <f aca="false">B5+B7</f>
        <v>5315279</v>
      </c>
      <c r="C12" s="19" t="n">
        <f aca="false">C5+C7</f>
        <v>7814298</v>
      </c>
      <c r="D12" s="7" t="n">
        <f aca="false">C12-B12</f>
        <v>2499019</v>
      </c>
      <c r="E12" s="8" t="n">
        <f aca="false">IF(B12=0,0,C12/B12-1)</f>
        <v>0.470157634246481</v>
      </c>
      <c r="F12" s="8" t="n">
        <f aca="false">D12/$D$9</f>
        <v>0.810339779144367</v>
      </c>
    </row>
    <row r="13" customFormat="false" ht="15" hidden="false" customHeight="false" outlineLevel="0" collapsed="false">
      <c r="A13" s="5" t="s">
        <v>52</v>
      </c>
      <c r="B13" s="19" t="n">
        <f aca="false">B6+B8</f>
        <v>332099</v>
      </c>
      <c r="C13" s="19" t="n">
        <f aca="false">C6+C8</f>
        <v>916995</v>
      </c>
      <c r="D13" s="7" t="n">
        <f aca="false">C13-B13</f>
        <v>584896</v>
      </c>
      <c r="E13" s="8" t="n">
        <f aca="false">IF(B13=0,0,C13/B13-1)</f>
        <v>1.76120975974032</v>
      </c>
      <c r="F13" s="8" t="n">
        <f aca="false">D13/$D$9</f>
        <v>0.189660220855633</v>
      </c>
    </row>
    <row r="14" customFormat="false" ht="15" hidden="false" customHeight="false" outlineLevel="0" collapsed="false">
      <c r="A14" s="5" t="s">
        <v>53</v>
      </c>
      <c r="B14" s="19" t="n">
        <f aca="false">B7+B8</f>
        <v>1385382</v>
      </c>
      <c r="C14" s="19" t="n">
        <f aca="false">C7+C8</f>
        <v>3114022</v>
      </c>
      <c r="D14" s="7" t="n">
        <f aca="false">C14-B14</f>
        <v>1728640</v>
      </c>
      <c r="E14" s="8" t="n">
        <f aca="false">IF(B14=0,0,C14/B14-1)</f>
        <v>1.24777137280548</v>
      </c>
      <c r="F14" s="8" t="n">
        <f aca="false">D14/$D$9</f>
        <v>0.56053425597009</v>
      </c>
    </row>
    <row r="16" customFormat="false" ht="15" hidden="false" customHeight="false" outlineLevel="0" collapsed="false">
      <c r="A16" s="22" t="s">
        <v>54</v>
      </c>
      <c r="B16" s="21" t="n">
        <f aca="false">B13/B9</f>
        <v>0.0588058741596543</v>
      </c>
      <c r="C16" s="21" t="n">
        <f aca="false">C13/C9</f>
        <v>0.105023963804674</v>
      </c>
    </row>
    <row r="18" customFormat="false" ht="15" hidden="false" customHeight="false" outlineLevel="0" collapsed="false">
      <c r="A18" s="2" t="s">
        <v>55</v>
      </c>
    </row>
    <row r="19" customFormat="false" ht="15" hidden="false" customHeight="false" outlineLevel="0" collapsed="false">
      <c r="A19" s="2" t="s">
        <v>56</v>
      </c>
    </row>
    <row r="20" customFormat="false" ht="15" hidden="false" customHeight="false" outlineLevel="0" collapsed="false">
      <c r="A20" s="2" t="s">
        <v>57</v>
      </c>
    </row>
    <row r="21" customFormat="false" ht="15" hidden="false" customHeight="false" outlineLevel="0" collapsed="false">
      <c r="A21" s="2" t="s"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6" min="2" style="0" width="15"/>
  </cols>
  <sheetData>
    <row r="1" customFormat="false" ht="16.15" hidden="false" customHeight="false" outlineLevel="0" collapsed="false">
      <c r="A1" s="1" t="s">
        <v>58</v>
      </c>
    </row>
    <row r="2" customFormat="false" ht="15" hidden="false" customHeight="false" outlineLevel="0" collapsed="false">
      <c r="A2" s="2" t="s">
        <v>59</v>
      </c>
    </row>
    <row r="4" customFormat="false" ht="33.75" hidden="false" customHeight="true" outlineLevel="0" collapsed="false">
      <c r="A4" s="3" t="s">
        <v>60</v>
      </c>
      <c r="B4" s="4" t="s">
        <v>9</v>
      </c>
      <c r="C4" s="4" t="s">
        <v>61</v>
      </c>
      <c r="D4" s="4" t="s">
        <v>62</v>
      </c>
      <c r="E4" s="4" t="s">
        <v>63</v>
      </c>
      <c r="F4" s="4" t="s">
        <v>64</v>
      </c>
    </row>
    <row r="5" customFormat="false" ht="15" hidden="false" customHeight="false" outlineLevel="0" collapsed="false">
      <c r="A5" s="5" t="s">
        <v>65</v>
      </c>
      <c r="B5" s="23" t="n">
        <v>254108</v>
      </c>
      <c r="C5" s="23" t="n">
        <v>1508652</v>
      </c>
      <c r="D5" s="19" t="n">
        <f aca="false">B5+C5</f>
        <v>1762760</v>
      </c>
      <c r="E5" s="8" t="n">
        <f aca="false">IF(D5=0,0,C5/D5)</f>
        <v>0.855846513422134</v>
      </c>
      <c r="F5" s="8" t="n">
        <f aca="false">C5/C$7</f>
        <v>0.267142025910077</v>
      </c>
    </row>
    <row r="6" customFormat="false" ht="15" hidden="false" customHeight="false" outlineLevel="0" collapsed="false">
      <c r="A6" s="5" t="s">
        <v>66</v>
      </c>
      <c r="B6" s="23" t="n">
        <v>322338037</v>
      </c>
      <c r="C6" s="23" t="n">
        <v>4138726</v>
      </c>
      <c r="D6" s="19" t="n">
        <f aca="false">B6+C6</f>
        <v>326476763</v>
      </c>
      <c r="E6" s="8" t="n">
        <f aca="false">IF(D6=0,0,C6/D6)</f>
        <v>0.0126769389709981</v>
      </c>
      <c r="F6" s="8" t="n">
        <f aca="false">C6/C$7</f>
        <v>0.732857974089923</v>
      </c>
    </row>
    <row r="7" customFormat="false" ht="15" hidden="false" customHeight="false" outlineLevel="0" collapsed="false">
      <c r="A7" s="9" t="s">
        <v>67</v>
      </c>
      <c r="B7" s="20" t="n">
        <f aca="false">B5+B6</f>
        <v>322592145</v>
      </c>
      <c r="C7" s="20" t="n">
        <f aca="false">C5+C6</f>
        <v>5647378</v>
      </c>
      <c r="D7" s="20" t="n">
        <f aca="false">B7+C7</f>
        <v>328239523</v>
      </c>
      <c r="E7" s="12" t="n">
        <f aca="false">IF(D7=0,0,C7/D7)</f>
        <v>0.0172050518121183</v>
      </c>
      <c r="F7" s="12" t="n">
        <f aca="false">C7/C$7</f>
        <v>1</v>
      </c>
    </row>
    <row r="9" customFormat="false" ht="15" hidden="false" customHeight="false" outlineLevel="0" collapsed="false">
      <c r="A9" s="2" t="s">
        <v>68</v>
      </c>
    </row>
    <row r="10" customFormat="false" ht="15" hidden="false" customHeight="false" outlineLevel="0" collapsed="false">
      <c r="A10" s="2" t="s">
        <v>69</v>
      </c>
    </row>
    <row r="11" customFormat="false" ht="15" hidden="false" customHeight="false" outlineLevel="0" collapsed="false">
      <c r="A11" s="2" t="s"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6" min="2" style="0" width="15"/>
  </cols>
  <sheetData>
    <row r="1" customFormat="false" ht="16.15" hidden="false" customHeight="false" outlineLevel="0" collapsed="false">
      <c r="A1" s="1" t="s">
        <v>70</v>
      </c>
    </row>
    <row r="2" customFormat="false" ht="15" hidden="false" customHeight="false" outlineLevel="0" collapsed="false">
      <c r="A2" s="2" t="s">
        <v>71</v>
      </c>
    </row>
    <row r="4" customFormat="false" ht="33.75" hidden="false" customHeight="true" outlineLevel="0" collapsed="false">
      <c r="A4" s="3" t="s">
        <v>60</v>
      </c>
      <c r="B4" s="4" t="s">
        <v>9</v>
      </c>
      <c r="C4" s="4" t="s">
        <v>61</v>
      </c>
      <c r="D4" s="4" t="s">
        <v>62</v>
      </c>
      <c r="E4" s="4" t="s">
        <v>63</v>
      </c>
      <c r="F4" s="4" t="s">
        <v>64</v>
      </c>
    </row>
    <row r="5" customFormat="false" ht="15" hidden="false" customHeight="false" outlineLevel="0" collapsed="false">
      <c r="A5" s="5" t="s">
        <v>65</v>
      </c>
      <c r="B5" s="23" t="n">
        <v>238200</v>
      </c>
      <c r="C5" s="23" t="n">
        <v>1319875</v>
      </c>
      <c r="D5" s="19" t="n">
        <f aca="false">B5+C5</f>
        <v>1558075</v>
      </c>
      <c r="E5" s="8" t="n">
        <f aca="false">IF(D5=0,0,C5/D5)</f>
        <v>0.847119041124465</v>
      </c>
      <c r="F5" s="8" t="n">
        <f aca="false">C5/C$7</f>
        <v>0.151166041501528</v>
      </c>
    </row>
    <row r="6" customFormat="false" ht="15" hidden="false" customHeight="false" outlineLevel="0" collapsed="false">
      <c r="A6" s="5" t="s">
        <v>66</v>
      </c>
      <c r="B6" s="23" t="n">
        <v>322924252</v>
      </c>
      <c r="C6" s="23" t="n">
        <v>7411418</v>
      </c>
      <c r="D6" s="19" t="n">
        <f aca="false">B6+C6</f>
        <v>330335670</v>
      </c>
      <c r="E6" s="8" t="n">
        <f aca="false">IF(D6=0,0,C6/D6)</f>
        <v>0.0224360209116987</v>
      </c>
      <c r="F6" s="8" t="n">
        <f aca="false">C6/C$7</f>
        <v>0.848833958498472</v>
      </c>
    </row>
    <row r="7" customFormat="false" ht="15" hidden="false" customHeight="false" outlineLevel="0" collapsed="false">
      <c r="A7" s="9" t="s">
        <v>67</v>
      </c>
      <c r="B7" s="20" t="n">
        <f aca="false">B5+B6</f>
        <v>323162452</v>
      </c>
      <c r="C7" s="20" t="n">
        <f aca="false">C5+C6</f>
        <v>8731293</v>
      </c>
      <c r="D7" s="20" t="n">
        <f aca="false">B7+C7</f>
        <v>331893745</v>
      </c>
      <c r="E7" s="12" t="n">
        <f aca="false">IF(D7=0,0,C7/D7)</f>
        <v>0.0263074948881607</v>
      </c>
      <c r="F7" s="12" t="n">
        <f aca="false">C7/C$7</f>
        <v>1</v>
      </c>
    </row>
    <row r="9" customFormat="false" ht="15" hidden="false" customHeight="false" outlineLevel="0" collapsed="false">
      <c r="A9" s="2" t="s">
        <v>68</v>
      </c>
    </row>
    <row r="10" customFormat="false" ht="15" hidden="false" customHeight="false" outlineLevel="0" collapsed="false">
      <c r="A10" s="2" t="s">
        <v>69</v>
      </c>
    </row>
    <row r="11" customFormat="false" ht="15" hidden="false" customHeight="false" outlineLevel="0" collapsed="false">
      <c r="A11" s="2" t="s"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5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6" min="6" style="0" width="15"/>
    <col collapsed="false" customWidth="true" hidden="false" outlineLevel="0" max="7" min="7" style="0" width="14"/>
  </cols>
  <sheetData>
    <row r="1" customFormat="false" ht="16.15" hidden="false" customHeight="false" outlineLevel="0" collapsed="false">
      <c r="A1" s="1" t="s">
        <v>72</v>
      </c>
    </row>
    <row r="2" customFormat="false" ht="15" hidden="false" customHeight="false" outlineLevel="0" collapsed="false">
      <c r="A2" s="2" t="s">
        <v>73</v>
      </c>
    </row>
    <row r="4" customFormat="false" ht="33.75" hidden="false" customHeight="true" outlineLevel="0" collapsed="false">
      <c r="A4" s="3" t="s">
        <v>74</v>
      </c>
      <c r="B4" s="4" t="s">
        <v>45</v>
      </c>
      <c r="C4" s="4" t="s">
        <v>62</v>
      </c>
      <c r="D4" s="4" t="s">
        <v>61</v>
      </c>
      <c r="E4" s="4" t="s">
        <v>75</v>
      </c>
      <c r="F4" s="4" t="s">
        <v>76</v>
      </c>
      <c r="G4" s="4" t="s">
        <v>77</v>
      </c>
    </row>
    <row r="5" customFormat="false" ht="15" hidden="false" customHeight="false" outlineLevel="0" collapsed="false">
      <c r="A5" s="5" t="s">
        <v>78</v>
      </c>
      <c r="B5" s="5" t="s">
        <v>30</v>
      </c>
      <c r="C5" s="23" t="n">
        <v>267754746</v>
      </c>
      <c r="D5" s="23" t="n">
        <v>4261996</v>
      </c>
      <c r="E5" s="23" t="n">
        <v>1412762</v>
      </c>
      <c r="F5" s="23" t="n">
        <v>2849234</v>
      </c>
      <c r="G5" s="8" t="n">
        <f aca="false">IF(C5=0,0,D5/C5)</f>
        <v>0.0159175367147367</v>
      </c>
    </row>
    <row r="6" customFormat="false" ht="15" hidden="false" customHeight="false" outlineLevel="0" collapsed="false">
      <c r="A6" s="5" t="s">
        <v>79</v>
      </c>
      <c r="B6" s="5" t="s">
        <v>79</v>
      </c>
      <c r="C6" s="23" t="n">
        <v>37185876</v>
      </c>
      <c r="D6" s="23" t="n">
        <v>884008</v>
      </c>
      <c r="E6" s="23" t="n">
        <v>74369</v>
      </c>
      <c r="F6" s="23" t="n">
        <v>809639</v>
      </c>
      <c r="G6" s="8" t="n">
        <f aca="false">IF(C6=0,0,D6/C6)</f>
        <v>0.0237726818644799</v>
      </c>
    </row>
    <row r="7" customFormat="false" ht="15" hidden="false" customHeight="false" outlineLevel="0" collapsed="false">
      <c r="A7" s="5" t="s">
        <v>80</v>
      </c>
      <c r="B7" s="5" t="s">
        <v>81</v>
      </c>
      <c r="C7" s="23" t="n">
        <v>5846497</v>
      </c>
      <c r="D7" s="23" t="n">
        <v>132973</v>
      </c>
      <c r="E7" s="23" t="n">
        <v>4116</v>
      </c>
      <c r="F7" s="23" t="n">
        <v>128857</v>
      </c>
      <c r="G7" s="8" t="n">
        <f aca="false">IF(C7=0,0,D7/C7)</f>
        <v>0.0227440465632669</v>
      </c>
    </row>
    <row r="8" customFormat="false" ht="15" hidden="false" customHeight="false" outlineLevel="0" collapsed="false">
      <c r="A8" s="5" t="s">
        <v>82</v>
      </c>
      <c r="B8" s="5" t="s">
        <v>81</v>
      </c>
      <c r="C8" s="23" t="n">
        <v>2381954</v>
      </c>
      <c r="D8" s="23" t="n">
        <v>12521</v>
      </c>
      <c r="E8" s="23" t="n">
        <v>1328</v>
      </c>
      <c r="F8" s="23" t="n">
        <v>11193</v>
      </c>
      <c r="G8" s="8" t="n">
        <f aca="false">IF(C8=0,0,D8/C8)</f>
        <v>0.00525660864987317</v>
      </c>
    </row>
    <row r="9" customFormat="false" ht="15" hidden="false" customHeight="false" outlineLevel="0" collapsed="false">
      <c r="A9" s="5" t="s">
        <v>83</v>
      </c>
      <c r="B9" s="5" t="s">
        <v>81</v>
      </c>
      <c r="C9" s="23" t="n">
        <v>2085488</v>
      </c>
      <c r="D9" s="23" t="n">
        <v>35321</v>
      </c>
      <c r="E9" s="23" t="n">
        <v>820</v>
      </c>
      <c r="F9" s="23" t="n">
        <v>34501</v>
      </c>
      <c r="G9" s="8" t="n">
        <f aca="false">IF(C9=0,0,D9/C9)</f>
        <v>0.0169365635285362</v>
      </c>
    </row>
    <row r="10" customFormat="false" ht="15" hidden="false" customHeight="false" outlineLevel="0" collapsed="false">
      <c r="A10" s="5" t="s">
        <v>84</v>
      </c>
      <c r="B10" s="5" t="s">
        <v>85</v>
      </c>
      <c r="C10" s="23" t="n">
        <v>169269</v>
      </c>
      <c r="D10" s="23" t="n">
        <v>2800</v>
      </c>
      <c r="E10" s="23" t="n">
        <v>0</v>
      </c>
      <c r="F10" s="23" t="n">
        <v>2800</v>
      </c>
      <c r="G10" s="8" t="n">
        <f aca="false">IF(C10=0,0,D10/C10)</f>
        <v>0.0165417176210647</v>
      </c>
    </row>
    <row r="11" customFormat="false" ht="15" hidden="false" customHeight="false" outlineLevel="0" collapsed="false">
      <c r="A11" s="5" t="s">
        <v>86</v>
      </c>
      <c r="B11" s="5" t="s">
        <v>85</v>
      </c>
      <c r="C11" s="23" t="n">
        <v>1655606</v>
      </c>
      <c r="D11" s="23" t="n">
        <v>58347</v>
      </c>
      <c r="E11" s="23" t="n">
        <v>657</v>
      </c>
      <c r="F11" s="23" t="n">
        <v>57690</v>
      </c>
      <c r="G11" s="8" t="n">
        <f aca="false">IF(C11=0,0,D11/C11)</f>
        <v>0.0352420805433177</v>
      </c>
    </row>
    <row r="12" customFormat="false" ht="15" hidden="false" customHeight="false" outlineLevel="0" collapsed="false">
      <c r="A12" s="5" t="s">
        <v>87</v>
      </c>
      <c r="B12" s="5" t="s">
        <v>85</v>
      </c>
      <c r="C12" s="23" t="n">
        <v>1073904</v>
      </c>
      <c r="D12" s="23" t="n">
        <v>17537</v>
      </c>
      <c r="E12" s="23" t="n">
        <v>332</v>
      </c>
      <c r="F12" s="23" t="n">
        <v>17205</v>
      </c>
      <c r="G12" s="8" t="n">
        <f aca="false">IF(C12=0,0,D12/C12)</f>
        <v>0.0163301375169475</v>
      </c>
    </row>
    <row r="13" customFormat="false" ht="15" hidden="false" customHeight="false" outlineLevel="0" collapsed="false">
      <c r="A13" s="5" t="s">
        <v>88</v>
      </c>
      <c r="B13" s="5" t="s">
        <v>85</v>
      </c>
      <c r="C13" s="23" t="n">
        <v>432579</v>
      </c>
      <c r="D13" s="23" t="n">
        <v>5984</v>
      </c>
      <c r="E13" s="23" t="n">
        <v>0</v>
      </c>
      <c r="F13" s="23" t="n">
        <v>5984</v>
      </c>
      <c r="G13" s="8" t="n">
        <f aca="false">IF(C13=0,0,D13/C13)</f>
        <v>0.0138333113720268</v>
      </c>
    </row>
    <row r="14" customFormat="false" ht="15" hidden="false" customHeight="false" outlineLevel="0" collapsed="false">
      <c r="A14" s="5" t="s">
        <v>89</v>
      </c>
      <c r="B14" s="5" t="s">
        <v>85</v>
      </c>
      <c r="C14" s="23" t="n">
        <v>193274</v>
      </c>
      <c r="D14" s="23" t="n">
        <v>5868</v>
      </c>
      <c r="E14" s="23" t="n">
        <v>1274</v>
      </c>
      <c r="F14" s="23" t="n">
        <v>4594</v>
      </c>
      <c r="G14" s="8" t="n">
        <f aca="false">IF(C14=0,0,D14/C14)</f>
        <v>0.0303610418369776</v>
      </c>
    </row>
    <row r="15" customFormat="false" ht="15" hidden="false" customHeight="false" outlineLevel="0" collapsed="false">
      <c r="A15" s="5" t="s">
        <v>90</v>
      </c>
      <c r="B15" s="5" t="s">
        <v>85</v>
      </c>
      <c r="C15" s="23" t="n">
        <v>2343993</v>
      </c>
      <c r="D15" s="23" t="n">
        <v>34969</v>
      </c>
      <c r="E15" s="23" t="n">
        <v>748</v>
      </c>
      <c r="F15" s="23" t="n">
        <v>34221</v>
      </c>
      <c r="G15" s="8" t="n">
        <f aca="false">IF(C15=0,0,D15/C15)</f>
        <v>0.0149185599103752</v>
      </c>
    </row>
    <row r="16" customFormat="false" ht="15" hidden="false" customHeight="false" outlineLevel="0" collapsed="false">
      <c r="A16" s="5" t="s">
        <v>91</v>
      </c>
      <c r="B16" s="5" t="s">
        <v>85</v>
      </c>
      <c r="C16" s="23" t="n">
        <v>59512</v>
      </c>
      <c r="D16" s="23" t="n">
        <v>1431</v>
      </c>
      <c r="E16" s="23" t="n">
        <v>0</v>
      </c>
      <c r="F16" s="23" t="n">
        <v>1431</v>
      </c>
      <c r="G16" s="8" t="n">
        <f aca="false">IF(C16=0,0,D16/C16)</f>
        <v>0.0240455706412152</v>
      </c>
    </row>
    <row r="17" customFormat="false" ht="15" hidden="false" customHeight="false" outlineLevel="0" collapsed="false">
      <c r="A17" s="5" t="s">
        <v>92</v>
      </c>
      <c r="B17" s="5" t="s">
        <v>93</v>
      </c>
      <c r="C17" s="23" t="n">
        <v>308116</v>
      </c>
      <c r="D17" s="23" t="n">
        <v>1122</v>
      </c>
      <c r="E17" s="23" t="n">
        <v>0</v>
      </c>
      <c r="F17" s="23" t="n">
        <v>1122</v>
      </c>
      <c r="G17" s="8" t="n">
        <f aca="false">IF(C17=0,0,D17/C17)</f>
        <v>0.00364148567422659</v>
      </c>
    </row>
    <row r="18" customFormat="false" ht="15" hidden="false" customHeight="false" outlineLevel="0" collapsed="false">
      <c r="A18" s="5" t="s">
        <v>94</v>
      </c>
      <c r="B18" s="5" t="s">
        <v>93</v>
      </c>
      <c r="C18" s="23" t="n">
        <v>135191</v>
      </c>
      <c r="D18" s="23" t="n">
        <v>5818</v>
      </c>
      <c r="E18" s="23" t="n">
        <v>0</v>
      </c>
      <c r="F18" s="23" t="n">
        <v>5818</v>
      </c>
      <c r="G18" s="8" t="n">
        <f aca="false">IF(C18=0,0,D18/C18)</f>
        <v>0.0430354091618525</v>
      </c>
    </row>
    <row r="19" customFormat="false" ht="15" hidden="false" customHeight="false" outlineLevel="0" collapsed="false">
      <c r="A19" s="5" t="s">
        <v>95</v>
      </c>
      <c r="B19" s="5" t="s">
        <v>93</v>
      </c>
      <c r="C19" s="23" t="n">
        <v>158927</v>
      </c>
      <c r="D19" s="23" t="n">
        <v>4413</v>
      </c>
      <c r="E19" s="23" t="n">
        <v>159</v>
      </c>
      <c r="F19" s="23" t="n">
        <v>4254</v>
      </c>
      <c r="G19" s="8" t="n">
        <f aca="false">IF(C19=0,0,D19/C19)</f>
        <v>0.0277674655659517</v>
      </c>
    </row>
    <row r="20" customFormat="false" ht="15" hidden="false" customHeight="false" outlineLevel="0" collapsed="false">
      <c r="A20" s="5" t="s">
        <v>96</v>
      </c>
      <c r="B20" s="5" t="s">
        <v>93</v>
      </c>
      <c r="C20" s="23" t="n">
        <v>1238369</v>
      </c>
      <c r="D20" s="23" t="n">
        <v>15085</v>
      </c>
      <c r="E20" s="23" t="n">
        <v>880</v>
      </c>
      <c r="F20" s="23" t="n">
        <v>14205</v>
      </c>
      <c r="G20" s="8" t="n">
        <f aca="false">IF(C20=0,0,D20/C20)</f>
        <v>0.0121813449787584</v>
      </c>
    </row>
    <row r="21" customFormat="false" ht="15" hidden="false" customHeight="false" outlineLevel="0" collapsed="false">
      <c r="A21" s="5" t="s">
        <v>97</v>
      </c>
      <c r="B21" s="5" t="s">
        <v>93</v>
      </c>
      <c r="C21" s="23" t="n">
        <v>707719</v>
      </c>
      <c r="D21" s="23" t="n">
        <v>11218</v>
      </c>
      <c r="E21" s="23" t="n">
        <v>46</v>
      </c>
      <c r="F21" s="23" t="n">
        <v>11172</v>
      </c>
      <c r="G21" s="8" t="n">
        <f aca="false">IF(C21=0,0,D21/C21)</f>
        <v>0.0158509238836318</v>
      </c>
    </row>
    <row r="22" customFormat="false" ht="15" hidden="false" customHeight="false" outlineLevel="0" collapsed="false">
      <c r="A22" s="5" t="s">
        <v>98</v>
      </c>
      <c r="B22" s="5" t="s">
        <v>93</v>
      </c>
      <c r="C22" s="23" t="n">
        <v>30061</v>
      </c>
      <c r="D22" s="23" t="n">
        <v>759</v>
      </c>
      <c r="E22" s="23" t="n">
        <v>0</v>
      </c>
      <c r="F22" s="23" t="n">
        <v>759</v>
      </c>
      <c r="G22" s="8" t="n">
        <f aca="false">IF(C22=0,0,D22/C22)</f>
        <v>0.0252486610558531</v>
      </c>
    </row>
    <row r="23" customFormat="false" ht="15" hidden="false" customHeight="false" outlineLevel="0" collapsed="false">
      <c r="A23" s="5" t="s">
        <v>99</v>
      </c>
      <c r="B23" s="5" t="s">
        <v>93</v>
      </c>
      <c r="C23" s="23" t="n">
        <v>652465</v>
      </c>
      <c r="D23" s="23" t="n">
        <v>16295</v>
      </c>
      <c r="E23" s="23" t="n">
        <v>60</v>
      </c>
      <c r="F23" s="23" t="n">
        <v>16235</v>
      </c>
      <c r="G23" s="8" t="n">
        <f aca="false">IF(C23=0,0,D23/C23)</f>
        <v>0.0249745197060379</v>
      </c>
    </row>
    <row r="24" customFormat="false" ht="15" hidden="false" customHeight="false" outlineLevel="0" collapsed="false">
      <c r="A24" s="5" t="s">
        <v>100</v>
      </c>
      <c r="B24" s="5" t="s">
        <v>93</v>
      </c>
      <c r="C24" s="23" t="n">
        <v>73233</v>
      </c>
      <c r="D24" s="23" t="n">
        <v>369</v>
      </c>
      <c r="E24" s="23" t="n">
        <v>0</v>
      </c>
      <c r="F24" s="23" t="n">
        <v>369</v>
      </c>
      <c r="G24" s="8" t="n">
        <f aca="false">IF(C24=0,0,D24/C24)</f>
        <v>0.00503871205604031</v>
      </c>
    </row>
    <row r="25" customFormat="false" ht="15" hidden="false" customHeight="false" outlineLevel="0" collapsed="false">
      <c r="A25" s="5" t="s">
        <v>101</v>
      </c>
      <c r="B25" s="5" t="s">
        <v>93</v>
      </c>
      <c r="C25" s="23" t="n">
        <v>538536</v>
      </c>
      <c r="D25" s="23" t="n">
        <v>5826</v>
      </c>
      <c r="E25" s="23" t="n">
        <v>311</v>
      </c>
      <c r="F25" s="23" t="n">
        <v>5515</v>
      </c>
      <c r="G25" s="8" t="n">
        <f aca="false">IF(C25=0,0,D25/C25)</f>
        <v>0.010818218280672</v>
      </c>
    </row>
    <row r="26" customFormat="false" ht="15" hidden="false" customHeight="false" outlineLevel="0" collapsed="false">
      <c r="A26" s="5" t="s">
        <v>102</v>
      </c>
      <c r="B26" s="5" t="s">
        <v>93</v>
      </c>
      <c r="C26" s="23" t="n">
        <v>24318</v>
      </c>
      <c r="D26" s="23" t="n">
        <v>961</v>
      </c>
      <c r="E26" s="23" t="n">
        <v>97</v>
      </c>
      <c r="F26" s="23" t="n">
        <v>864</v>
      </c>
      <c r="G26" s="8" t="n">
        <f aca="false">IF(C26=0,0,D26/C26)</f>
        <v>0.0395180524714203</v>
      </c>
    </row>
    <row r="27" customFormat="false" ht="15" hidden="false" customHeight="false" outlineLevel="0" collapsed="false">
      <c r="A27" s="5" t="s">
        <v>103</v>
      </c>
      <c r="B27" s="5" t="s">
        <v>103</v>
      </c>
      <c r="C27" s="23" t="n">
        <v>846127</v>
      </c>
      <c r="D27" s="23" t="n">
        <v>47697</v>
      </c>
      <c r="E27" s="23" t="n">
        <v>4548</v>
      </c>
      <c r="F27" s="23" t="n">
        <v>43149</v>
      </c>
      <c r="G27" s="8" t="n">
        <f aca="false">IF(C27=0,0,D27/C27)</f>
        <v>0.0563709703153309</v>
      </c>
    </row>
    <row r="28" customFormat="false" ht="15" hidden="false" customHeight="false" outlineLevel="0" collapsed="false">
      <c r="A28" s="5" t="s">
        <v>104</v>
      </c>
      <c r="B28" s="5" t="s">
        <v>105</v>
      </c>
      <c r="C28" s="23" t="n">
        <v>2343763</v>
      </c>
      <c r="D28" s="23" t="n">
        <v>84060</v>
      </c>
      <c r="E28" s="23" t="n">
        <v>6145</v>
      </c>
      <c r="F28" s="23" t="n">
        <v>77915</v>
      </c>
      <c r="G28" s="8" t="n">
        <f aca="false">IF(C28=0,0,D28/C28)</f>
        <v>0.0358654010665754</v>
      </c>
    </row>
    <row r="29" customFormat="false" ht="15" hidden="false" customHeight="false" outlineLevel="0" collapsed="false">
      <c r="A29" s="9" t="s">
        <v>67</v>
      </c>
      <c r="B29" s="9"/>
      <c r="C29" s="20" t="n">
        <f aca="false">SUM(C5:C28)</f>
        <v>328239523</v>
      </c>
      <c r="D29" s="20" t="n">
        <f aca="false">SUM(D5:D28)</f>
        <v>5647378</v>
      </c>
      <c r="E29" s="20" t="n">
        <f aca="false">SUM(E5:E28)</f>
        <v>1508652</v>
      </c>
      <c r="F29" s="20" t="n">
        <f aca="false">SUM(F5:F28)</f>
        <v>4138726</v>
      </c>
      <c r="G29" s="12" t="n">
        <f aca="false">D29/C29</f>
        <v>0.0172050518121183</v>
      </c>
    </row>
    <row r="31" customFormat="false" ht="15" hidden="false" customHeight="false" outlineLevel="0" collapsed="false">
      <c r="A31" s="2" t="s">
        <v>106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5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6" min="6" style="0" width="15"/>
    <col collapsed="false" customWidth="true" hidden="false" outlineLevel="0" max="7" min="7" style="0" width="14"/>
  </cols>
  <sheetData>
    <row r="1" customFormat="false" ht="16.15" hidden="false" customHeight="false" outlineLevel="0" collapsed="false">
      <c r="A1" s="1" t="s">
        <v>107</v>
      </c>
    </row>
    <row r="2" customFormat="false" ht="15" hidden="false" customHeight="false" outlineLevel="0" collapsed="false">
      <c r="A2" s="2" t="s">
        <v>108</v>
      </c>
    </row>
    <row r="4" customFormat="false" ht="33.75" hidden="false" customHeight="true" outlineLevel="0" collapsed="false">
      <c r="A4" s="3" t="s">
        <v>74</v>
      </c>
      <c r="B4" s="4" t="s">
        <v>45</v>
      </c>
      <c r="C4" s="4" t="s">
        <v>62</v>
      </c>
      <c r="D4" s="4" t="s">
        <v>61</v>
      </c>
      <c r="E4" s="4" t="s">
        <v>75</v>
      </c>
      <c r="F4" s="4" t="s">
        <v>76</v>
      </c>
      <c r="G4" s="4" t="s">
        <v>77</v>
      </c>
    </row>
    <row r="5" customFormat="false" ht="15" hidden="false" customHeight="false" outlineLevel="0" collapsed="false">
      <c r="A5" s="5" t="s">
        <v>78</v>
      </c>
      <c r="B5" s="5" t="s">
        <v>30</v>
      </c>
      <c r="C5" s="23" t="n">
        <v>269363212</v>
      </c>
      <c r="D5" s="23" t="n">
        <v>5617271</v>
      </c>
      <c r="E5" s="23" t="n">
        <v>1198248</v>
      </c>
      <c r="F5" s="23" t="n">
        <v>4419023</v>
      </c>
      <c r="G5" s="8" t="n">
        <f aca="false">IF(C5=0,0,D5/C5)</f>
        <v>0.0208538907681276</v>
      </c>
    </row>
    <row r="6" customFormat="false" ht="15" hidden="false" customHeight="false" outlineLevel="0" collapsed="false">
      <c r="A6" s="5" t="s">
        <v>79</v>
      </c>
      <c r="B6" s="5" t="s">
        <v>79</v>
      </c>
      <c r="C6" s="23" t="n">
        <v>37249675</v>
      </c>
      <c r="D6" s="23" t="n">
        <v>2051518</v>
      </c>
      <c r="E6" s="23" t="n">
        <v>94069</v>
      </c>
      <c r="F6" s="23" t="n">
        <v>1957449</v>
      </c>
      <c r="G6" s="8" t="n">
        <f aca="false">IF(C6=0,0,D6/C6)</f>
        <v>0.0550747892431276</v>
      </c>
    </row>
    <row r="7" customFormat="false" ht="15" hidden="false" customHeight="false" outlineLevel="0" collapsed="false">
      <c r="A7" s="5" t="s">
        <v>80</v>
      </c>
      <c r="B7" s="5" t="s">
        <v>81</v>
      </c>
      <c r="C7" s="23" t="n">
        <v>5801064</v>
      </c>
      <c r="D7" s="23" t="n">
        <v>229072</v>
      </c>
      <c r="E7" s="23" t="n">
        <v>3824</v>
      </c>
      <c r="F7" s="23" t="n">
        <v>225248</v>
      </c>
      <c r="G7" s="8" t="n">
        <f aca="false">IF(C7=0,0,D7/C7)</f>
        <v>0.0394879284214068</v>
      </c>
    </row>
    <row r="8" customFormat="false" ht="15" hidden="false" customHeight="false" outlineLevel="0" collapsed="false">
      <c r="A8" s="5" t="s">
        <v>82</v>
      </c>
      <c r="B8" s="5" t="s">
        <v>81</v>
      </c>
      <c r="C8" s="23" t="n">
        <v>2402116</v>
      </c>
      <c r="D8" s="23" t="n">
        <v>24415</v>
      </c>
      <c r="E8" s="23" t="n">
        <v>1470</v>
      </c>
      <c r="F8" s="23" t="n">
        <v>22945</v>
      </c>
      <c r="G8" s="8" t="n">
        <f aca="false">IF(C8=0,0,D8/C8)</f>
        <v>0.0101639554459485</v>
      </c>
    </row>
    <row r="9" customFormat="false" ht="15" hidden="false" customHeight="false" outlineLevel="0" collapsed="false">
      <c r="A9" s="5" t="s">
        <v>83</v>
      </c>
      <c r="B9" s="5" t="s">
        <v>81</v>
      </c>
      <c r="C9" s="23" t="n">
        <v>2421393</v>
      </c>
      <c r="D9" s="23" t="n">
        <v>73457</v>
      </c>
      <c r="E9" s="23" t="n">
        <v>4311</v>
      </c>
      <c r="F9" s="23" t="n">
        <v>69146</v>
      </c>
      <c r="G9" s="8" t="n">
        <f aca="false">IF(C9=0,0,D9/C9)</f>
        <v>0.0303366698425245</v>
      </c>
    </row>
    <row r="10" customFormat="false" ht="15" hidden="false" customHeight="false" outlineLevel="0" collapsed="false">
      <c r="A10" s="5" t="s">
        <v>84</v>
      </c>
      <c r="B10" s="5" t="s">
        <v>85</v>
      </c>
      <c r="C10" s="23" t="n">
        <v>183070</v>
      </c>
      <c r="D10" s="23" t="n">
        <v>5840</v>
      </c>
      <c r="E10" s="23" t="n">
        <v>0</v>
      </c>
      <c r="F10" s="23" t="n">
        <v>5840</v>
      </c>
      <c r="G10" s="8" t="n">
        <f aca="false">IF(C10=0,0,D10/C10)</f>
        <v>0.0319003659802261</v>
      </c>
    </row>
    <row r="11" customFormat="false" ht="15" hidden="false" customHeight="false" outlineLevel="0" collapsed="false">
      <c r="A11" s="5" t="s">
        <v>86</v>
      </c>
      <c r="B11" s="5" t="s">
        <v>85</v>
      </c>
      <c r="C11" s="23" t="n">
        <v>1770604</v>
      </c>
      <c r="D11" s="23" t="n">
        <v>155721</v>
      </c>
      <c r="E11" s="23" t="n">
        <v>939</v>
      </c>
      <c r="F11" s="23" t="n">
        <v>154782</v>
      </c>
      <c r="G11" s="8" t="n">
        <f aca="false">IF(C11=0,0,D11/C11)</f>
        <v>0.0879479544833289</v>
      </c>
    </row>
    <row r="12" customFormat="false" ht="15" hidden="false" customHeight="false" outlineLevel="0" collapsed="false">
      <c r="A12" s="5" t="s">
        <v>87</v>
      </c>
      <c r="B12" s="5" t="s">
        <v>85</v>
      </c>
      <c r="C12" s="23" t="n">
        <v>1123243</v>
      </c>
      <c r="D12" s="23" t="n">
        <v>36280</v>
      </c>
      <c r="E12" s="23" t="n">
        <v>415</v>
      </c>
      <c r="F12" s="23" t="n">
        <v>35865</v>
      </c>
      <c r="G12" s="8" t="n">
        <f aca="false">IF(C12=0,0,D12/C12)</f>
        <v>0.0322993332698267</v>
      </c>
    </row>
    <row r="13" customFormat="false" ht="15" hidden="false" customHeight="false" outlineLevel="0" collapsed="false">
      <c r="A13" s="5" t="s">
        <v>88</v>
      </c>
      <c r="B13" s="5" t="s">
        <v>85</v>
      </c>
      <c r="C13" s="23" t="n">
        <v>452590</v>
      </c>
      <c r="D13" s="23" t="n">
        <v>13859</v>
      </c>
      <c r="E13" s="23" t="n">
        <v>0</v>
      </c>
      <c r="F13" s="23" t="n">
        <v>13859</v>
      </c>
      <c r="G13" s="8" t="n">
        <f aca="false">IF(C13=0,0,D13/C13)</f>
        <v>0.0306215338385735</v>
      </c>
    </row>
    <row r="14" customFormat="false" ht="15" hidden="false" customHeight="false" outlineLevel="0" collapsed="false">
      <c r="A14" s="5" t="s">
        <v>89</v>
      </c>
      <c r="B14" s="5" t="s">
        <v>85</v>
      </c>
      <c r="C14" s="23" t="n">
        <v>235136</v>
      </c>
      <c r="D14" s="23" t="n">
        <v>8045</v>
      </c>
      <c r="E14" s="23" t="n">
        <v>0</v>
      </c>
      <c r="F14" s="23" t="n">
        <v>8045</v>
      </c>
      <c r="G14" s="8" t="n">
        <f aca="false">IF(C14=0,0,D14/C14)</f>
        <v>0.0342142419706043</v>
      </c>
    </row>
    <row r="15" customFormat="false" ht="15" hidden="false" customHeight="false" outlineLevel="0" collapsed="false">
      <c r="A15" s="5" t="s">
        <v>90</v>
      </c>
      <c r="B15" s="5" t="s">
        <v>85</v>
      </c>
      <c r="C15" s="23" t="n">
        <v>2486513</v>
      </c>
      <c r="D15" s="23" t="n">
        <v>106182</v>
      </c>
      <c r="E15" s="23" t="n">
        <v>705</v>
      </c>
      <c r="F15" s="23" t="n">
        <v>105477</v>
      </c>
      <c r="G15" s="8" t="n">
        <f aca="false">IF(C15=0,0,D15/C15)</f>
        <v>0.04270317508897</v>
      </c>
    </row>
    <row r="16" customFormat="false" ht="15" hidden="false" customHeight="false" outlineLevel="0" collapsed="false">
      <c r="A16" s="5" t="s">
        <v>91</v>
      </c>
      <c r="B16" s="5" t="s">
        <v>85</v>
      </c>
      <c r="C16" s="23" t="n">
        <v>27044</v>
      </c>
      <c r="D16" s="23" t="n">
        <v>1680</v>
      </c>
      <c r="E16" s="23" t="n">
        <v>0</v>
      </c>
      <c r="F16" s="23" t="n">
        <v>1680</v>
      </c>
      <c r="G16" s="8" t="n">
        <f aca="false">IF(C16=0,0,D16/C16)</f>
        <v>0.0621209880195237</v>
      </c>
    </row>
    <row r="17" customFormat="false" ht="15" hidden="false" customHeight="false" outlineLevel="0" collapsed="false">
      <c r="A17" s="5" t="s">
        <v>92</v>
      </c>
      <c r="B17" s="5" t="s">
        <v>93</v>
      </c>
      <c r="C17" s="23" t="n">
        <v>290013</v>
      </c>
      <c r="D17" s="23" t="n">
        <v>5963</v>
      </c>
      <c r="E17" s="23" t="n">
        <v>43</v>
      </c>
      <c r="F17" s="23" t="n">
        <v>5920</v>
      </c>
      <c r="G17" s="8" t="n">
        <f aca="false">IF(C17=0,0,D17/C17)</f>
        <v>0.020561147258916</v>
      </c>
    </row>
    <row r="18" customFormat="false" ht="15" hidden="false" customHeight="false" outlineLevel="0" collapsed="false">
      <c r="A18" s="5" t="s">
        <v>94</v>
      </c>
      <c r="B18" s="5" t="s">
        <v>93</v>
      </c>
      <c r="C18" s="23" t="n">
        <v>127381</v>
      </c>
      <c r="D18" s="23" t="n">
        <v>9526</v>
      </c>
      <c r="E18" s="23" t="n">
        <v>0</v>
      </c>
      <c r="F18" s="23" t="n">
        <v>9526</v>
      </c>
      <c r="G18" s="8" t="n">
        <f aca="false">IF(C18=0,0,D18/C18)</f>
        <v>0.0747835234454118</v>
      </c>
    </row>
    <row r="19" customFormat="false" ht="15" hidden="false" customHeight="false" outlineLevel="0" collapsed="false">
      <c r="A19" s="5" t="s">
        <v>95</v>
      </c>
      <c r="B19" s="5" t="s">
        <v>93</v>
      </c>
      <c r="C19" s="23" t="n">
        <v>191055</v>
      </c>
      <c r="D19" s="23" t="n">
        <v>6710</v>
      </c>
      <c r="E19" s="23" t="n">
        <v>477</v>
      </c>
      <c r="F19" s="23" t="n">
        <v>6233</v>
      </c>
      <c r="G19" s="8" t="n">
        <f aca="false">IF(C19=0,0,D19/C19)</f>
        <v>0.0351207767396823</v>
      </c>
    </row>
    <row r="20" customFormat="false" ht="15" hidden="false" customHeight="false" outlineLevel="0" collapsed="false">
      <c r="A20" s="5" t="s">
        <v>96</v>
      </c>
      <c r="B20" s="5" t="s">
        <v>93</v>
      </c>
      <c r="C20" s="23" t="n">
        <v>1422553</v>
      </c>
      <c r="D20" s="23" t="n">
        <v>31167</v>
      </c>
      <c r="E20" s="23" t="n">
        <v>421</v>
      </c>
      <c r="F20" s="23" t="n">
        <v>30746</v>
      </c>
      <c r="G20" s="8" t="n">
        <f aca="false">IF(C20=0,0,D20/C20)</f>
        <v>0.0219092012740474</v>
      </c>
    </row>
    <row r="21" customFormat="false" ht="15" hidden="false" customHeight="false" outlineLevel="0" collapsed="false">
      <c r="A21" s="5" t="s">
        <v>97</v>
      </c>
      <c r="B21" s="5" t="s">
        <v>93</v>
      </c>
      <c r="C21" s="23" t="n">
        <v>831552</v>
      </c>
      <c r="D21" s="23" t="n">
        <v>29268</v>
      </c>
      <c r="E21" s="23" t="n">
        <v>107</v>
      </c>
      <c r="F21" s="23" t="n">
        <v>29161</v>
      </c>
      <c r="G21" s="8" t="n">
        <f aca="false">IF(C21=0,0,D21/C21)</f>
        <v>0.0351968367582545</v>
      </c>
    </row>
    <row r="22" customFormat="false" ht="15" hidden="false" customHeight="false" outlineLevel="0" collapsed="false">
      <c r="A22" s="5" t="s">
        <v>98</v>
      </c>
      <c r="B22" s="5" t="s">
        <v>93</v>
      </c>
      <c r="C22" s="23" t="n">
        <v>29244</v>
      </c>
      <c r="D22" s="23" t="n">
        <v>2531</v>
      </c>
      <c r="E22" s="23" t="n">
        <v>0</v>
      </c>
      <c r="F22" s="23" t="n">
        <v>2531</v>
      </c>
      <c r="G22" s="8" t="n">
        <f aca="false">IF(C22=0,0,D22/C22)</f>
        <v>0.0865476678976884</v>
      </c>
    </row>
    <row r="23" customFormat="false" ht="15" hidden="false" customHeight="false" outlineLevel="0" collapsed="false">
      <c r="A23" s="5" t="s">
        <v>99</v>
      </c>
      <c r="B23" s="5" t="s">
        <v>93</v>
      </c>
      <c r="C23" s="23" t="n">
        <v>707922</v>
      </c>
      <c r="D23" s="23" t="n">
        <v>40350</v>
      </c>
      <c r="E23" s="23" t="n">
        <v>85</v>
      </c>
      <c r="F23" s="23" t="n">
        <v>40265</v>
      </c>
      <c r="G23" s="8" t="n">
        <f aca="false">IF(C23=0,0,D23/C23)</f>
        <v>0.0569978048429064</v>
      </c>
    </row>
    <row r="24" customFormat="false" ht="15" hidden="false" customHeight="false" outlineLevel="0" collapsed="false">
      <c r="A24" s="5" t="s">
        <v>100</v>
      </c>
      <c r="B24" s="5" t="s">
        <v>93</v>
      </c>
      <c r="C24" s="23" t="n">
        <v>63877</v>
      </c>
      <c r="D24" s="23" t="n">
        <v>285</v>
      </c>
      <c r="E24" s="23" t="n">
        <v>0</v>
      </c>
      <c r="F24" s="23" t="n">
        <v>285</v>
      </c>
      <c r="G24" s="8" t="n">
        <f aca="false">IF(C24=0,0,D24/C24)</f>
        <v>0.00446169982935955</v>
      </c>
    </row>
    <row r="25" customFormat="false" ht="15" hidden="false" customHeight="false" outlineLevel="0" collapsed="false">
      <c r="A25" s="5" t="s">
        <v>101</v>
      </c>
      <c r="B25" s="5" t="s">
        <v>93</v>
      </c>
      <c r="C25" s="23" t="n">
        <v>643470</v>
      </c>
      <c r="D25" s="23" t="n">
        <v>12939</v>
      </c>
      <c r="E25" s="23" t="n">
        <v>0</v>
      </c>
      <c r="F25" s="23" t="n">
        <v>12939</v>
      </c>
      <c r="G25" s="8" t="n">
        <f aca="false">IF(C25=0,0,D25/C25)</f>
        <v>0.0201081635507483</v>
      </c>
    </row>
    <row r="26" customFormat="false" ht="15" hidden="false" customHeight="false" outlineLevel="0" collapsed="false">
      <c r="A26" s="5" t="s">
        <v>102</v>
      </c>
      <c r="B26" s="5" t="s">
        <v>93</v>
      </c>
      <c r="C26" s="23" t="n">
        <v>40927</v>
      </c>
      <c r="D26" s="23" t="n">
        <v>3464</v>
      </c>
      <c r="E26" s="23" t="n">
        <v>0</v>
      </c>
      <c r="F26" s="23" t="n">
        <v>3464</v>
      </c>
      <c r="G26" s="8" t="n">
        <f aca="false">IF(C26=0,0,D26/C26)</f>
        <v>0.0846385026999292</v>
      </c>
    </row>
    <row r="27" customFormat="false" ht="15" hidden="false" customHeight="false" outlineLevel="0" collapsed="false">
      <c r="A27" s="5" t="s">
        <v>103</v>
      </c>
      <c r="B27" s="5" t="s">
        <v>103</v>
      </c>
      <c r="C27" s="23" t="n">
        <v>992848</v>
      </c>
      <c r="D27" s="23" t="n">
        <v>97741</v>
      </c>
      <c r="E27" s="23" t="n">
        <v>4622</v>
      </c>
      <c r="F27" s="23" t="n">
        <v>93119</v>
      </c>
      <c r="G27" s="8" t="n">
        <f aca="false">IF(C27=0,0,D27/C27)</f>
        <v>0.0984450792064848</v>
      </c>
    </row>
    <row r="28" customFormat="false" ht="15" hidden="false" customHeight="false" outlineLevel="0" collapsed="false">
      <c r="A28" s="5" t="s">
        <v>104</v>
      </c>
      <c r="B28" s="5" t="s">
        <v>105</v>
      </c>
      <c r="C28" s="23" t="n">
        <v>3037243</v>
      </c>
      <c r="D28" s="23" t="n">
        <v>168009</v>
      </c>
      <c r="E28" s="23" t="n">
        <v>10139</v>
      </c>
      <c r="F28" s="23" t="n">
        <v>157870</v>
      </c>
      <c r="G28" s="8" t="n">
        <f aca="false">IF(C28=0,0,D28/C28)</f>
        <v>0.0553162851968051</v>
      </c>
    </row>
    <row r="29" customFormat="false" ht="15" hidden="false" customHeight="false" outlineLevel="0" collapsed="false">
      <c r="A29" s="9" t="s">
        <v>67</v>
      </c>
      <c r="B29" s="9"/>
      <c r="C29" s="20" t="n">
        <f aca="false">SUM(C5:C28)</f>
        <v>331893745</v>
      </c>
      <c r="D29" s="20" t="n">
        <f aca="false">SUM(D5:D28)</f>
        <v>8731293</v>
      </c>
      <c r="E29" s="20" t="n">
        <f aca="false">SUM(E5:E28)</f>
        <v>1319875</v>
      </c>
      <c r="F29" s="20" t="n">
        <f aca="false">SUM(F5:F28)</f>
        <v>7411418</v>
      </c>
      <c r="G29" s="12" t="n">
        <f aca="false">D29/C29</f>
        <v>0.0263074948881607</v>
      </c>
    </row>
    <row r="31" customFormat="false" ht="15" hidden="false" customHeight="false" outlineLevel="0" collapsed="false">
      <c r="A31" s="2" t="s">
        <v>106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8" min="3" style="0" width="13"/>
    <col collapsed="false" customWidth="true" hidden="false" outlineLevel="0" max="9" min="9" style="0" width="11"/>
  </cols>
  <sheetData>
    <row r="1" customFormat="false" ht="16.15" hidden="false" customHeight="false" outlineLevel="0" collapsed="false">
      <c r="A1" s="1" t="s">
        <v>109</v>
      </c>
    </row>
    <row r="2" customFormat="false" ht="15" hidden="false" customHeight="false" outlineLevel="0" collapsed="false">
      <c r="A2" s="2" t="s">
        <v>110</v>
      </c>
    </row>
    <row r="4" customFormat="false" ht="33.75" hidden="false" customHeight="true" outlineLevel="0" collapsed="false">
      <c r="A4" s="3" t="s">
        <v>74</v>
      </c>
      <c r="B4" s="4" t="s">
        <v>45</v>
      </c>
      <c r="C4" s="4" t="s">
        <v>111</v>
      </c>
      <c r="D4" s="4" t="s">
        <v>112</v>
      </c>
      <c r="E4" s="4" t="s">
        <v>113</v>
      </c>
      <c r="F4" s="4" t="s">
        <v>114</v>
      </c>
      <c r="G4" s="4" t="s">
        <v>115</v>
      </c>
      <c r="H4" s="4" t="s">
        <v>116</v>
      </c>
      <c r="I4" s="4" t="s">
        <v>117</v>
      </c>
    </row>
    <row r="5" customFormat="false" ht="15" hidden="false" customHeight="false" outlineLevel="0" collapsed="false">
      <c r="A5" s="5" t="s">
        <v>78</v>
      </c>
      <c r="B5" s="5" t="s">
        <v>30</v>
      </c>
      <c r="C5" s="23" t="n">
        <v>1410300</v>
      </c>
      <c r="D5" s="23" t="n">
        <v>2462</v>
      </c>
      <c r="E5" s="23" t="n">
        <v>2791313</v>
      </c>
      <c r="F5" s="23" t="n">
        <v>57921</v>
      </c>
      <c r="G5" s="19" t="n">
        <f aca="false">SUM(C5:F5)</f>
        <v>4261996</v>
      </c>
      <c r="H5" s="19" t="n">
        <f aca="false">D5+F5</f>
        <v>60383</v>
      </c>
      <c r="I5" s="8" t="n">
        <f aca="false">IF(G5=0,0,H5/G5)</f>
        <v>0.014167774911098</v>
      </c>
    </row>
    <row r="6" customFormat="false" ht="15" hidden="false" customHeight="false" outlineLevel="0" collapsed="false">
      <c r="A6" s="5" t="s">
        <v>79</v>
      </c>
      <c r="B6" s="5" t="s">
        <v>79</v>
      </c>
      <c r="C6" s="23" t="n">
        <v>72657</v>
      </c>
      <c r="D6" s="23" t="n">
        <v>1712</v>
      </c>
      <c r="E6" s="23" t="n">
        <v>668612</v>
      </c>
      <c r="F6" s="23" t="n">
        <v>141027</v>
      </c>
      <c r="G6" s="19" t="n">
        <f aca="false">SUM(C6:F6)</f>
        <v>884008</v>
      </c>
      <c r="H6" s="19" t="n">
        <f aca="false">D6+F6</f>
        <v>142739</v>
      </c>
      <c r="I6" s="8" t="n">
        <f aca="false">IF(G6=0,0,H6/G6)</f>
        <v>0.161467995764744</v>
      </c>
    </row>
    <row r="7" customFormat="false" ht="15" hidden="false" customHeight="false" outlineLevel="0" collapsed="false">
      <c r="A7" s="5" t="s">
        <v>80</v>
      </c>
      <c r="B7" s="5" t="s">
        <v>81</v>
      </c>
      <c r="C7" s="23" t="n">
        <v>4042</v>
      </c>
      <c r="D7" s="23" t="n">
        <v>74</v>
      </c>
      <c r="E7" s="23" t="n">
        <v>127211</v>
      </c>
      <c r="F7" s="23" t="n">
        <v>1646</v>
      </c>
      <c r="G7" s="19" t="n">
        <f aca="false">SUM(C7:F7)</f>
        <v>132973</v>
      </c>
      <c r="H7" s="19" t="n">
        <f aca="false">D7+F7</f>
        <v>1720</v>
      </c>
      <c r="I7" s="8" t="n">
        <f aca="false">IF(G7=0,0,H7/G7)</f>
        <v>0.0129349567205373</v>
      </c>
    </row>
    <row r="8" customFormat="false" ht="15" hidden="false" customHeight="false" outlineLevel="0" collapsed="false">
      <c r="A8" s="5" t="s">
        <v>82</v>
      </c>
      <c r="B8" s="5" t="s">
        <v>81</v>
      </c>
      <c r="C8" s="23" t="n">
        <v>1294</v>
      </c>
      <c r="D8" s="23" t="n">
        <v>34</v>
      </c>
      <c r="E8" s="23" t="n">
        <v>10060</v>
      </c>
      <c r="F8" s="23" t="n">
        <v>1133</v>
      </c>
      <c r="G8" s="19" t="n">
        <f aca="false">SUM(C8:F8)</f>
        <v>12521</v>
      </c>
      <c r="H8" s="19" t="n">
        <f aca="false">D8+F8</f>
        <v>1167</v>
      </c>
      <c r="I8" s="8" t="n">
        <f aca="false">IF(G8=0,0,H8/G8)</f>
        <v>0.0932034182573277</v>
      </c>
    </row>
    <row r="9" customFormat="false" ht="15" hidden="false" customHeight="false" outlineLevel="0" collapsed="false">
      <c r="A9" s="5" t="s">
        <v>83</v>
      </c>
      <c r="B9" s="5" t="s">
        <v>81</v>
      </c>
      <c r="C9" s="23" t="n">
        <v>820</v>
      </c>
      <c r="D9" s="23" t="n">
        <v>0</v>
      </c>
      <c r="E9" s="23" t="n">
        <v>19613</v>
      </c>
      <c r="F9" s="23" t="n">
        <v>14888</v>
      </c>
      <c r="G9" s="19" t="n">
        <f aca="false">SUM(C9:F9)</f>
        <v>35321</v>
      </c>
      <c r="H9" s="19" t="n">
        <f aca="false">D9+F9</f>
        <v>14888</v>
      </c>
      <c r="I9" s="8" t="n">
        <f aca="false">IF(G9=0,0,H9/G9)</f>
        <v>0.421505619886187</v>
      </c>
    </row>
    <row r="10" customFormat="false" ht="15" hidden="false" customHeight="false" outlineLevel="0" collapsed="false">
      <c r="A10" s="5" t="s">
        <v>84</v>
      </c>
      <c r="B10" s="5" t="s">
        <v>85</v>
      </c>
      <c r="C10" s="23" t="n">
        <v>0</v>
      </c>
      <c r="D10" s="23" t="n">
        <v>0</v>
      </c>
      <c r="E10" s="23" t="n">
        <v>2208</v>
      </c>
      <c r="F10" s="23" t="n">
        <v>592</v>
      </c>
      <c r="G10" s="19" t="n">
        <f aca="false">SUM(C10:F10)</f>
        <v>2800</v>
      </c>
      <c r="H10" s="19" t="n">
        <f aca="false">D10+F10</f>
        <v>592</v>
      </c>
      <c r="I10" s="8" t="n">
        <f aca="false">IF(G10=0,0,H10/G10)</f>
        <v>0.211428571428571</v>
      </c>
    </row>
    <row r="11" customFormat="false" ht="15" hidden="false" customHeight="false" outlineLevel="0" collapsed="false">
      <c r="A11" s="5" t="s">
        <v>86</v>
      </c>
      <c r="B11" s="5" t="s">
        <v>85</v>
      </c>
      <c r="C11" s="23" t="n">
        <v>371</v>
      </c>
      <c r="D11" s="23" t="n">
        <v>286</v>
      </c>
      <c r="E11" s="23" t="n">
        <v>16892</v>
      </c>
      <c r="F11" s="23" t="n">
        <v>40798</v>
      </c>
      <c r="G11" s="19" t="n">
        <f aca="false">SUM(C11:F11)</f>
        <v>58347</v>
      </c>
      <c r="H11" s="19" t="n">
        <f aca="false">D11+F11</f>
        <v>41084</v>
      </c>
      <c r="I11" s="8" t="n">
        <f aca="false">IF(G11=0,0,H11/G11)</f>
        <v>0.704132174747631</v>
      </c>
    </row>
    <row r="12" customFormat="false" ht="15" hidden="false" customHeight="false" outlineLevel="0" collapsed="false">
      <c r="A12" s="5" t="s">
        <v>87</v>
      </c>
      <c r="B12" s="5" t="s">
        <v>85</v>
      </c>
      <c r="C12" s="23" t="n">
        <v>332</v>
      </c>
      <c r="D12" s="23" t="n">
        <v>0</v>
      </c>
      <c r="E12" s="23" t="n">
        <v>7690</v>
      </c>
      <c r="F12" s="23" t="n">
        <v>9515</v>
      </c>
      <c r="G12" s="19" t="n">
        <f aca="false">SUM(C12:F12)</f>
        <v>17537</v>
      </c>
      <c r="H12" s="19" t="n">
        <f aca="false">D12+F12</f>
        <v>9515</v>
      </c>
      <c r="I12" s="8" t="n">
        <f aca="false">IF(G12=0,0,H12/G12)</f>
        <v>0.542567143753208</v>
      </c>
    </row>
    <row r="13" customFormat="false" ht="15" hidden="false" customHeight="false" outlineLevel="0" collapsed="false">
      <c r="A13" s="5" t="s">
        <v>88</v>
      </c>
      <c r="B13" s="5" t="s">
        <v>85</v>
      </c>
      <c r="C13" s="23" t="n">
        <v>0</v>
      </c>
      <c r="D13" s="23" t="n">
        <v>0</v>
      </c>
      <c r="E13" s="23" t="n">
        <v>2430</v>
      </c>
      <c r="F13" s="23" t="n">
        <v>3554</v>
      </c>
      <c r="G13" s="19" t="n">
        <f aca="false">SUM(C13:F13)</f>
        <v>5984</v>
      </c>
      <c r="H13" s="19" t="n">
        <f aca="false">D13+F13</f>
        <v>3554</v>
      </c>
      <c r="I13" s="8" t="n">
        <f aca="false">IF(G13=0,0,H13/G13)</f>
        <v>0.593917112299465</v>
      </c>
    </row>
    <row r="14" customFormat="false" ht="15" hidden="false" customHeight="false" outlineLevel="0" collapsed="false">
      <c r="A14" s="5" t="s">
        <v>89</v>
      </c>
      <c r="B14" s="5" t="s">
        <v>85</v>
      </c>
      <c r="C14" s="23" t="n">
        <v>1274</v>
      </c>
      <c r="D14" s="23" t="n">
        <v>0</v>
      </c>
      <c r="E14" s="23" t="n">
        <v>4048</v>
      </c>
      <c r="F14" s="23" t="n">
        <v>546</v>
      </c>
      <c r="G14" s="19" t="n">
        <f aca="false">SUM(C14:F14)</f>
        <v>5868</v>
      </c>
      <c r="H14" s="19" t="n">
        <f aca="false">D14+F14</f>
        <v>546</v>
      </c>
      <c r="I14" s="8" t="n">
        <f aca="false">IF(G14=0,0,H14/G14)</f>
        <v>0.0930470347648262</v>
      </c>
    </row>
    <row r="15" customFormat="false" ht="15" hidden="false" customHeight="false" outlineLevel="0" collapsed="false">
      <c r="A15" s="5" t="s">
        <v>90</v>
      </c>
      <c r="B15" s="5" t="s">
        <v>85</v>
      </c>
      <c r="C15" s="23" t="n">
        <v>328</v>
      </c>
      <c r="D15" s="23" t="n">
        <v>420</v>
      </c>
      <c r="E15" s="23" t="n">
        <v>17315</v>
      </c>
      <c r="F15" s="23" t="n">
        <v>16906</v>
      </c>
      <c r="G15" s="19" t="n">
        <f aca="false">SUM(C15:F15)</f>
        <v>34969</v>
      </c>
      <c r="H15" s="19" t="n">
        <f aca="false">D15+F15</f>
        <v>17326</v>
      </c>
      <c r="I15" s="8" t="n">
        <f aca="false">IF(G15=0,0,H15/G15)</f>
        <v>0.495467413995253</v>
      </c>
    </row>
    <row r="16" customFormat="false" ht="15" hidden="false" customHeight="false" outlineLevel="0" collapsed="false">
      <c r="A16" s="5" t="s">
        <v>91</v>
      </c>
      <c r="B16" s="5" t="s">
        <v>85</v>
      </c>
      <c r="C16" s="23" t="n">
        <v>0</v>
      </c>
      <c r="D16" s="23" t="n">
        <v>0</v>
      </c>
      <c r="E16" s="23" t="n">
        <v>728</v>
      </c>
      <c r="F16" s="23" t="n">
        <v>703</v>
      </c>
      <c r="G16" s="19" t="n">
        <f aca="false">SUM(C16:F16)</f>
        <v>1431</v>
      </c>
      <c r="H16" s="19" t="n">
        <f aca="false">D16+F16</f>
        <v>703</v>
      </c>
      <c r="I16" s="8" t="n">
        <f aca="false">IF(G16=0,0,H16/G16)</f>
        <v>0.491264849755416</v>
      </c>
    </row>
    <row r="17" customFormat="false" ht="15" hidden="false" customHeight="false" outlineLevel="0" collapsed="false">
      <c r="A17" s="5" t="s">
        <v>92</v>
      </c>
      <c r="B17" s="5" t="s">
        <v>93</v>
      </c>
      <c r="C17" s="23" t="n">
        <v>0</v>
      </c>
      <c r="D17" s="23" t="n">
        <v>0</v>
      </c>
      <c r="E17" s="23" t="n">
        <v>589</v>
      </c>
      <c r="F17" s="23" t="n">
        <v>533</v>
      </c>
      <c r="G17" s="19" t="n">
        <f aca="false">SUM(C17:F17)</f>
        <v>1122</v>
      </c>
      <c r="H17" s="19" t="n">
        <f aca="false">D17+F17</f>
        <v>533</v>
      </c>
      <c r="I17" s="8" t="n">
        <f aca="false">IF(G17=0,0,H17/G17)</f>
        <v>0.475044563279857</v>
      </c>
    </row>
    <row r="18" customFormat="false" ht="15" hidden="false" customHeight="false" outlineLevel="0" collapsed="false">
      <c r="A18" s="5" t="s">
        <v>94</v>
      </c>
      <c r="B18" s="5" t="s">
        <v>93</v>
      </c>
      <c r="C18" s="23" t="n">
        <v>0</v>
      </c>
      <c r="D18" s="23" t="n">
        <v>0</v>
      </c>
      <c r="E18" s="23" t="n">
        <v>3855</v>
      </c>
      <c r="F18" s="23" t="n">
        <v>1963</v>
      </c>
      <c r="G18" s="19" t="n">
        <f aca="false">SUM(C18:F18)</f>
        <v>5818</v>
      </c>
      <c r="H18" s="19" t="n">
        <f aca="false">D18+F18</f>
        <v>1963</v>
      </c>
      <c r="I18" s="8" t="n">
        <f aca="false">IF(G18=0,0,H18/G18)</f>
        <v>0.337401168786525</v>
      </c>
    </row>
    <row r="19" customFormat="false" ht="15" hidden="false" customHeight="false" outlineLevel="0" collapsed="false">
      <c r="A19" s="5" t="s">
        <v>95</v>
      </c>
      <c r="B19" s="5" t="s">
        <v>93</v>
      </c>
      <c r="C19" s="23" t="n">
        <v>159</v>
      </c>
      <c r="D19" s="23" t="n">
        <v>0</v>
      </c>
      <c r="E19" s="23" t="n">
        <v>2836</v>
      </c>
      <c r="F19" s="23" t="n">
        <v>1418</v>
      </c>
      <c r="G19" s="19" t="n">
        <f aca="false">SUM(C19:F19)</f>
        <v>4413</v>
      </c>
      <c r="H19" s="19" t="n">
        <f aca="false">D19+F19</f>
        <v>1418</v>
      </c>
      <c r="I19" s="8" t="n">
        <f aca="false">IF(G19=0,0,H19/G19)</f>
        <v>0.321323362791752</v>
      </c>
    </row>
    <row r="20" customFormat="false" ht="15" hidden="false" customHeight="false" outlineLevel="0" collapsed="false">
      <c r="A20" s="5" t="s">
        <v>96</v>
      </c>
      <c r="B20" s="5" t="s">
        <v>93</v>
      </c>
      <c r="C20" s="23" t="n">
        <v>880</v>
      </c>
      <c r="D20" s="23" t="n">
        <v>0</v>
      </c>
      <c r="E20" s="23" t="n">
        <v>7728</v>
      </c>
      <c r="F20" s="23" t="n">
        <v>6477</v>
      </c>
      <c r="G20" s="19" t="n">
        <f aca="false">SUM(C20:F20)</f>
        <v>15085</v>
      </c>
      <c r="H20" s="19" t="n">
        <f aca="false">D20+F20</f>
        <v>6477</v>
      </c>
      <c r="I20" s="8" t="n">
        <f aca="false">IF(G20=0,0,H20/G20)</f>
        <v>0.429366920782234</v>
      </c>
    </row>
    <row r="21" customFormat="false" ht="15" hidden="false" customHeight="false" outlineLevel="0" collapsed="false">
      <c r="A21" s="5" t="s">
        <v>97</v>
      </c>
      <c r="B21" s="5" t="s">
        <v>93</v>
      </c>
      <c r="C21" s="23" t="n">
        <v>46</v>
      </c>
      <c r="D21" s="23" t="n">
        <v>0</v>
      </c>
      <c r="E21" s="23" t="n">
        <v>4503</v>
      </c>
      <c r="F21" s="23" t="n">
        <v>6669</v>
      </c>
      <c r="G21" s="19" t="n">
        <f aca="false">SUM(C21:F21)</f>
        <v>11218</v>
      </c>
      <c r="H21" s="19" t="n">
        <f aca="false">D21+F21</f>
        <v>6669</v>
      </c>
      <c r="I21" s="8" t="n">
        <f aca="false">IF(G21=0,0,H21/G21)</f>
        <v>0.594490996612587</v>
      </c>
    </row>
    <row r="22" customFormat="false" ht="15" hidden="false" customHeight="false" outlineLevel="0" collapsed="false">
      <c r="A22" s="5" t="s">
        <v>98</v>
      </c>
      <c r="B22" s="5" t="s">
        <v>93</v>
      </c>
      <c r="C22" s="23" t="n">
        <v>0</v>
      </c>
      <c r="D22" s="23" t="n">
        <v>0</v>
      </c>
      <c r="E22" s="23" t="n">
        <v>384</v>
      </c>
      <c r="F22" s="23" t="n">
        <v>375</v>
      </c>
      <c r="G22" s="19" t="n">
        <f aca="false">SUM(C22:F22)</f>
        <v>759</v>
      </c>
      <c r="H22" s="19" t="n">
        <f aca="false">D22+F22</f>
        <v>375</v>
      </c>
      <c r="I22" s="8" t="n">
        <f aca="false">IF(G22=0,0,H22/G22)</f>
        <v>0.494071146245059</v>
      </c>
    </row>
    <row r="23" customFormat="false" ht="15" hidden="false" customHeight="false" outlineLevel="0" collapsed="false">
      <c r="A23" s="5" t="s">
        <v>99</v>
      </c>
      <c r="B23" s="5" t="s">
        <v>93</v>
      </c>
      <c r="C23" s="23" t="n">
        <v>60</v>
      </c>
      <c r="D23" s="23" t="n">
        <v>0</v>
      </c>
      <c r="E23" s="23" t="n">
        <v>6118</v>
      </c>
      <c r="F23" s="23" t="n">
        <v>10117</v>
      </c>
      <c r="G23" s="19" t="n">
        <f aca="false">SUM(C23:F23)</f>
        <v>16295</v>
      </c>
      <c r="H23" s="19" t="n">
        <f aca="false">D23+F23</f>
        <v>10117</v>
      </c>
      <c r="I23" s="8" t="n">
        <f aca="false">IF(G23=0,0,H23/G23)</f>
        <v>0.620865296103099</v>
      </c>
    </row>
    <row r="24" customFormat="false" ht="15" hidden="false" customHeight="false" outlineLevel="0" collapsed="false">
      <c r="A24" s="5" t="s">
        <v>100</v>
      </c>
      <c r="B24" s="5" t="s">
        <v>93</v>
      </c>
      <c r="C24" s="23" t="n">
        <v>0</v>
      </c>
      <c r="D24" s="23" t="n">
        <v>0</v>
      </c>
      <c r="E24" s="23" t="n">
        <v>369</v>
      </c>
      <c r="F24" s="23" t="n">
        <v>0</v>
      </c>
      <c r="G24" s="19" t="n">
        <f aca="false">SUM(C24:F24)</f>
        <v>369</v>
      </c>
      <c r="H24" s="19" t="n">
        <f aca="false">D24+F24</f>
        <v>0</v>
      </c>
      <c r="I24" s="8" t="n">
        <f aca="false">IF(G24=0,0,H24/G24)</f>
        <v>0</v>
      </c>
    </row>
    <row r="25" customFormat="false" ht="15" hidden="false" customHeight="false" outlineLevel="0" collapsed="false">
      <c r="A25" s="5" t="s">
        <v>101</v>
      </c>
      <c r="B25" s="5" t="s">
        <v>93</v>
      </c>
      <c r="C25" s="23" t="n">
        <v>311</v>
      </c>
      <c r="D25" s="23" t="n">
        <v>0</v>
      </c>
      <c r="E25" s="23" t="n">
        <v>1190</v>
      </c>
      <c r="F25" s="23" t="n">
        <v>4325</v>
      </c>
      <c r="G25" s="19" t="n">
        <f aca="false">SUM(C25:F25)</f>
        <v>5826</v>
      </c>
      <c r="H25" s="19" t="n">
        <f aca="false">D25+F25</f>
        <v>4325</v>
      </c>
      <c r="I25" s="8" t="n">
        <f aca="false">IF(G25=0,0,H25/G25)</f>
        <v>0.742361826295915</v>
      </c>
    </row>
    <row r="26" customFormat="false" ht="15" hidden="false" customHeight="false" outlineLevel="0" collapsed="false">
      <c r="A26" s="5" t="s">
        <v>102</v>
      </c>
      <c r="B26" s="5" t="s">
        <v>93</v>
      </c>
      <c r="C26" s="23" t="n">
        <v>97</v>
      </c>
      <c r="D26" s="23" t="n">
        <v>0</v>
      </c>
      <c r="E26" s="23" t="n">
        <v>579</v>
      </c>
      <c r="F26" s="23" t="n">
        <v>285</v>
      </c>
      <c r="G26" s="19" t="n">
        <f aca="false">SUM(C26:F26)</f>
        <v>961</v>
      </c>
      <c r="H26" s="19" t="n">
        <f aca="false">D26+F26</f>
        <v>285</v>
      </c>
      <c r="I26" s="8" t="n">
        <f aca="false">IF(G26=0,0,H26/G26)</f>
        <v>0.296566077003122</v>
      </c>
    </row>
    <row r="27" customFormat="false" ht="15" hidden="false" customHeight="false" outlineLevel="0" collapsed="false">
      <c r="A27" s="5" t="s">
        <v>103</v>
      </c>
      <c r="B27" s="5" t="s">
        <v>103</v>
      </c>
      <c r="C27" s="23" t="n">
        <v>4548</v>
      </c>
      <c r="D27" s="23" t="n">
        <v>0</v>
      </c>
      <c r="E27" s="23" t="n">
        <v>41701</v>
      </c>
      <c r="F27" s="23" t="n">
        <v>1448</v>
      </c>
      <c r="G27" s="19" t="n">
        <f aca="false">SUM(C27:F27)</f>
        <v>47697</v>
      </c>
      <c r="H27" s="19" t="n">
        <f aca="false">D27+F27</f>
        <v>1448</v>
      </c>
      <c r="I27" s="8" t="n">
        <f aca="false">IF(G27=0,0,H27/G27)</f>
        <v>0.0303583034572405</v>
      </c>
    </row>
    <row r="28" customFormat="false" ht="15" hidden="false" customHeight="false" outlineLevel="0" collapsed="false">
      <c r="A28" s="5" t="s">
        <v>104</v>
      </c>
      <c r="B28" s="5" t="s">
        <v>105</v>
      </c>
      <c r="C28" s="23" t="n">
        <v>5915</v>
      </c>
      <c r="D28" s="23" t="n">
        <v>230</v>
      </c>
      <c r="E28" s="23" t="n">
        <v>73873</v>
      </c>
      <c r="F28" s="23" t="n">
        <v>4042</v>
      </c>
      <c r="G28" s="19" t="n">
        <f aca="false">SUM(C28:F28)</f>
        <v>84060</v>
      </c>
      <c r="H28" s="19" t="n">
        <f aca="false">D28+F28</f>
        <v>4272</v>
      </c>
      <c r="I28" s="8" t="n">
        <f aca="false">IF(G28=0,0,H28/G28)</f>
        <v>0.0508208422555318</v>
      </c>
    </row>
    <row r="29" customFormat="false" ht="15" hidden="false" customHeight="false" outlineLevel="0" collapsed="false">
      <c r="A29" s="9" t="s">
        <v>67</v>
      </c>
      <c r="B29" s="9"/>
      <c r="C29" s="20" t="n">
        <f aca="false">SUM(C5:C28)</f>
        <v>1503434</v>
      </c>
      <c r="D29" s="20" t="n">
        <f aca="false">SUM(D5:D28)</f>
        <v>5218</v>
      </c>
      <c r="E29" s="20" t="n">
        <f aca="false">SUM(E5:E28)</f>
        <v>3811845</v>
      </c>
      <c r="F29" s="20" t="n">
        <f aca="false">SUM(F5:F28)</f>
        <v>326881</v>
      </c>
      <c r="G29" s="20" t="n">
        <f aca="false">SUM(G5:G28)</f>
        <v>5647378</v>
      </c>
      <c r="H29" s="20" t="n">
        <f aca="false">SUM(H5:H28)</f>
        <v>332099</v>
      </c>
      <c r="I29" s="12" t="n">
        <f aca="false">H29/G29</f>
        <v>0.0588058741596543</v>
      </c>
    </row>
    <row r="31" customFormat="false" ht="15" hidden="false" customHeight="false" outlineLevel="0" collapsed="false">
      <c r="A31" s="2" t="s">
        <v>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8" min="3" style="0" width="13"/>
    <col collapsed="false" customWidth="true" hidden="false" outlineLevel="0" max="9" min="9" style="0" width="11"/>
  </cols>
  <sheetData>
    <row r="1" customFormat="false" ht="16.15" hidden="false" customHeight="false" outlineLevel="0" collapsed="false">
      <c r="A1" s="1" t="s">
        <v>118</v>
      </c>
    </row>
    <row r="2" customFormat="false" ht="15" hidden="false" customHeight="false" outlineLevel="0" collapsed="false">
      <c r="A2" s="2" t="s">
        <v>119</v>
      </c>
    </row>
    <row r="4" customFormat="false" ht="33.75" hidden="false" customHeight="true" outlineLevel="0" collapsed="false">
      <c r="A4" s="3" t="s">
        <v>74</v>
      </c>
      <c r="B4" s="4" t="s">
        <v>45</v>
      </c>
      <c r="C4" s="4" t="s">
        <v>111</v>
      </c>
      <c r="D4" s="4" t="s">
        <v>112</v>
      </c>
      <c r="E4" s="4" t="s">
        <v>113</v>
      </c>
      <c r="F4" s="4" t="s">
        <v>114</v>
      </c>
      <c r="G4" s="4" t="s">
        <v>115</v>
      </c>
      <c r="H4" s="4" t="s">
        <v>116</v>
      </c>
      <c r="I4" s="4" t="s">
        <v>117</v>
      </c>
    </row>
    <row r="5" customFormat="false" ht="15" hidden="false" customHeight="false" outlineLevel="0" collapsed="false">
      <c r="A5" s="5" t="s">
        <v>78</v>
      </c>
      <c r="B5" s="5" t="s">
        <v>30</v>
      </c>
      <c r="C5" s="23" t="n">
        <v>1195901</v>
      </c>
      <c r="D5" s="23" t="n">
        <v>2347</v>
      </c>
      <c r="E5" s="23" t="n">
        <v>4354594</v>
      </c>
      <c r="F5" s="23" t="n">
        <v>64429</v>
      </c>
      <c r="G5" s="19" t="n">
        <f aca="false">SUM(C5:F5)</f>
        <v>5617271</v>
      </c>
      <c r="H5" s="19" t="n">
        <f aca="false">D5+F5</f>
        <v>66776</v>
      </c>
      <c r="I5" s="8" t="n">
        <f aca="false">IF(G5=0,0,H5/G5)</f>
        <v>0.0118876230112451</v>
      </c>
    </row>
    <row r="6" customFormat="false" ht="15" hidden="false" customHeight="false" outlineLevel="0" collapsed="false">
      <c r="A6" s="5" t="s">
        <v>79</v>
      </c>
      <c r="B6" s="5" t="s">
        <v>79</v>
      </c>
      <c r="C6" s="23" t="n">
        <v>91156</v>
      </c>
      <c r="D6" s="23" t="n">
        <v>2913</v>
      </c>
      <c r="E6" s="23" t="n">
        <v>1411365</v>
      </c>
      <c r="F6" s="23" t="n">
        <v>546084</v>
      </c>
      <c r="G6" s="19" t="n">
        <f aca="false">SUM(C6:F6)</f>
        <v>2051518</v>
      </c>
      <c r="H6" s="19" t="n">
        <f aca="false">D6+F6</f>
        <v>548997</v>
      </c>
      <c r="I6" s="8" t="n">
        <f aca="false">IF(G6=0,0,H6/G6)</f>
        <v>0.267605256205405</v>
      </c>
    </row>
    <row r="7" customFormat="false" ht="15" hidden="false" customHeight="false" outlineLevel="0" collapsed="false">
      <c r="A7" s="5" t="s">
        <v>80</v>
      </c>
      <c r="B7" s="5" t="s">
        <v>81</v>
      </c>
      <c r="C7" s="23" t="n">
        <v>3824</v>
      </c>
      <c r="D7" s="23" t="n">
        <v>0</v>
      </c>
      <c r="E7" s="23" t="n">
        <v>221255</v>
      </c>
      <c r="F7" s="23" t="n">
        <v>3993</v>
      </c>
      <c r="G7" s="19" t="n">
        <f aca="false">SUM(C7:F7)</f>
        <v>229072</v>
      </c>
      <c r="H7" s="19" t="n">
        <f aca="false">D7+F7</f>
        <v>3993</v>
      </c>
      <c r="I7" s="8" t="n">
        <f aca="false">IF(G7=0,0,H7/G7)</f>
        <v>0.0174312006705315</v>
      </c>
    </row>
    <row r="8" customFormat="false" ht="15" hidden="false" customHeight="false" outlineLevel="0" collapsed="false">
      <c r="A8" s="5" t="s">
        <v>82</v>
      </c>
      <c r="B8" s="5" t="s">
        <v>81</v>
      </c>
      <c r="C8" s="23" t="n">
        <v>1470</v>
      </c>
      <c r="D8" s="23" t="n">
        <v>0</v>
      </c>
      <c r="E8" s="23" t="n">
        <v>19684</v>
      </c>
      <c r="F8" s="23" t="n">
        <v>3261</v>
      </c>
      <c r="G8" s="19" t="n">
        <f aca="false">SUM(C8:F8)</f>
        <v>24415</v>
      </c>
      <c r="H8" s="19" t="n">
        <f aca="false">D8+F8</f>
        <v>3261</v>
      </c>
      <c r="I8" s="8" t="n">
        <f aca="false">IF(G8=0,0,H8/G8)</f>
        <v>0.133565431087446</v>
      </c>
    </row>
    <row r="9" customFormat="false" ht="15" hidden="false" customHeight="false" outlineLevel="0" collapsed="false">
      <c r="A9" s="5" t="s">
        <v>83</v>
      </c>
      <c r="B9" s="5" t="s">
        <v>81</v>
      </c>
      <c r="C9" s="23" t="n">
        <v>4241</v>
      </c>
      <c r="D9" s="23" t="n">
        <v>70</v>
      </c>
      <c r="E9" s="23" t="n">
        <v>34913</v>
      </c>
      <c r="F9" s="23" t="n">
        <v>34233</v>
      </c>
      <c r="G9" s="19" t="n">
        <f aca="false">SUM(C9:F9)</f>
        <v>73457</v>
      </c>
      <c r="H9" s="19" t="n">
        <f aca="false">D9+F9</f>
        <v>34303</v>
      </c>
      <c r="I9" s="8" t="n">
        <f aca="false">IF(G9=0,0,H9/G9)</f>
        <v>0.466980682576201</v>
      </c>
    </row>
    <row r="10" customFormat="false" ht="15" hidden="false" customHeight="false" outlineLevel="0" collapsed="false">
      <c r="A10" s="5" t="s">
        <v>84</v>
      </c>
      <c r="B10" s="5" t="s">
        <v>85</v>
      </c>
      <c r="C10" s="23" t="n">
        <v>0</v>
      </c>
      <c r="D10" s="23" t="n">
        <v>0</v>
      </c>
      <c r="E10" s="23" t="n">
        <v>3359</v>
      </c>
      <c r="F10" s="23" t="n">
        <v>2481</v>
      </c>
      <c r="G10" s="19" t="n">
        <f aca="false">SUM(C10:F10)</f>
        <v>5840</v>
      </c>
      <c r="H10" s="19" t="n">
        <f aca="false">D10+F10</f>
        <v>2481</v>
      </c>
      <c r="I10" s="8" t="n">
        <f aca="false">IF(G10=0,0,H10/G10)</f>
        <v>0.424828767123288</v>
      </c>
    </row>
    <row r="11" customFormat="false" ht="15" hidden="false" customHeight="false" outlineLevel="0" collapsed="false">
      <c r="A11" s="5" t="s">
        <v>86</v>
      </c>
      <c r="B11" s="5" t="s">
        <v>85</v>
      </c>
      <c r="C11" s="23" t="n">
        <v>939</v>
      </c>
      <c r="D11" s="23" t="n">
        <v>0</v>
      </c>
      <c r="E11" s="23" t="n">
        <v>62082</v>
      </c>
      <c r="F11" s="23" t="n">
        <v>92700</v>
      </c>
      <c r="G11" s="19" t="n">
        <f aca="false">SUM(C11:F11)</f>
        <v>155721</v>
      </c>
      <c r="H11" s="19" t="n">
        <f aca="false">D11+F11</f>
        <v>92700</v>
      </c>
      <c r="I11" s="8" t="n">
        <f aca="false">IF(G11=0,0,H11/G11)</f>
        <v>0.595295432215308</v>
      </c>
    </row>
    <row r="12" customFormat="false" ht="15" hidden="false" customHeight="false" outlineLevel="0" collapsed="false">
      <c r="A12" s="5" t="s">
        <v>87</v>
      </c>
      <c r="B12" s="5" t="s">
        <v>85</v>
      </c>
      <c r="C12" s="23" t="n">
        <v>306</v>
      </c>
      <c r="D12" s="23" t="n">
        <v>109</v>
      </c>
      <c r="E12" s="23" t="n">
        <v>15086</v>
      </c>
      <c r="F12" s="23" t="n">
        <v>20779</v>
      </c>
      <c r="G12" s="19" t="n">
        <f aca="false">SUM(C12:F12)</f>
        <v>36280</v>
      </c>
      <c r="H12" s="19" t="n">
        <f aca="false">D12+F12</f>
        <v>20888</v>
      </c>
      <c r="I12" s="8" t="n">
        <f aca="false">IF(G12=0,0,H12/G12)</f>
        <v>0.57574421168688</v>
      </c>
    </row>
    <row r="13" customFormat="false" ht="15" hidden="false" customHeight="false" outlineLevel="0" collapsed="false">
      <c r="A13" s="5" t="s">
        <v>88</v>
      </c>
      <c r="B13" s="5" t="s">
        <v>85</v>
      </c>
      <c r="C13" s="23" t="n">
        <v>0</v>
      </c>
      <c r="D13" s="23" t="n">
        <v>0</v>
      </c>
      <c r="E13" s="23" t="n">
        <v>8748</v>
      </c>
      <c r="F13" s="23" t="n">
        <v>5111</v>
      </c>
      <c r="G13" s="19" t="n">
        <f aca="false">SUM(C13:F13)</f>
        <v>13859</v>
      </c>
      <c r="H13" s="19" t="n">
        <f aca="false">D13+F13</f>
        <v>5111</v>
      </c>
      <c r="I13" s="8" t="n">
        <f aca="false">IF(G13=0,0,H13/G13)</f>
        <v>0.368785626668591</v>
      </c>
    </row>
    <row r="14" customFormat="false" ht="15" hidden="false" customHeight="false" outlineLevel="0" collapsed="false">
      <c r="A14" s="5" t="s">
        <v>89</v>
      </c>
      <c r="B14" s="5" t="s">
        <v>85</v>
      </c>
      <c r="C14" s="23" t="n">
        <v>0</v>
      </c>
      <c r="D14" s="23" t="n">
        <v>0</v>
      </c>
      <c r="E14" s="23" t="n">
        <v>6101</v>
      </c>
      <c r="F14" s="23" t="n">
        <v>1944</v>
      </c>
      <c r="G14" s="19" t="n">
        <f aca="false">SUM(C14:F14)</f>
        <v>8045</v>
      </c>
      <c r="H14" s="19" t="n">
        <f aca="false">D14+F14</f>
        <v>1944</v>
      </c>
      <c r="I14" s="8" t="n">
        <f aca="false">IF(G14=0,0,H14/G14)</f>
        <v>0.241640770665009</v>
      </c>
    </row>
    <row r="15" customFormat="false" ht="15" hidden="false" customHeight="false" outlineLevel="0" collapsed="false">
      <c r="A15" s="5" t="s">
        <v>90</v>
      </c>
      <c r="B15" s="5" t="s">
        <v>85</v>
      </c>
      <c r="C15" s="23" t="n">
        <v>705</v>
      </c>
      <c r="D15" s="23" t="n">
        <v>0</v>
      </c>
      <c r="E15" s="23" t="n">
        <v>49393</v>
      </c>
      <c r="F15" s="23" t="n">
        <v>56084</v>
      </c>
      <c r="G15" s="19" t="n">
        <f aca="false">SUM(C15:F15)</f>
        <v>106182</v>
      </c>
      <c r="H15" s="19" t="n">
        <f aca="false">D15+F15</f>
        <v>56084</v>
      </c>
      <c r="I15" s="8" t="n">
        <f aca="false">IF(G15=0,0,H15/G15)</f>
        <v>0.528187451733816</v>
      </c>
    </row>
    <row r="16" customFormat="false" ht="15" hidden="false" customHeight="false" outlineLevel="0" collapsed="false">
      <c r="A16" s="5" t="s">
        <v>91</v>
      </c>
      <c r="B16" s="5" t="s">
        <v>85</v>
      </c>
      <c r="C16" s="23" t="n">
        <v>0</v>
      </c>
      <c r="D16" s="23" t="n">
        <v>0</v>
      </c>
      <c r="E16" s="23" t="n">
        <v>1056</v>
      </c>
      <c r="F16" s="23" t="n">
        <v>624</v>
      </c>
      <c r="G16" s="19" t="n">
        <f aca="false">SUM(C16:F16)</f>
        <v>1680</v>
      </c>
      <c r="H16" s="19" t="n">
        <f aca="false">D16+F16</f>
        <v>624</v>
      </c>
      <c r="I16" s="8" t="n">
        <f aca="false">IF(G16=0,0,H16/G16)</f>
        <v>0.371428571428571</v>
      </c>
    </row>
    <row r="17" customFormat="false" ht="15" hidden="false" customHeight="false" outlineLevel="0" collapsed="false">
      <c r="A17" s="5" t="s">
        <v>92</v>
      </c>
      <c r="B17" s="5" t="s">
        <v>93</v>
      </c>
      <c r="C17" s="23" t="n">
        <v>43</v>
      </c>
      <c r="D17" s="23" t="n">
        <v>0</v>
      </c>
      <c r="E17" s="23" t="n">
        <v>4509</v>
      </c>
      <c r="F17" s="23" t="n">
        <v>1411</v>
      </c>
      <c r="G17" s="19" t="n">
        <f aca="false">SUM(C17:F17)</f>
        <v>5963</v>
      </c>
      <c r="H17" s="19" t="n">
        <f aca="false">D17+F17</f>
        <v>1411</v>
      </c>
      <c r="I17" s="8" t="n">
        <f aca="false">IF(G17=0,0,H17/G17)</f>
        <v>0.236625859466711</v>
      </c>
    </row>
    <row r="18" customFormat="false" ht="15" hidden="false" customHeight="false" outlineLevel="0" collapsed="false">
      <c r="A18" s="5" t="s">
        <v>94</v>
      </c>
      <c r="B18" s="5" t="s">
        <v>93</v>
      </c>
      <c r="C18" s="23" t="n">
        <v>0</v>
      </c>
      <c r="D18" s="23" t="n">
        <v>0</v>
      </c>
      <c r="E18" s="23" t="n">
        <v>4847</v>
      </c>
      <c r="F18" s="23" t="n">
        <v>4679</v>
      </c>
      <c r="G18" s="19" t="n">
        <f aca="false">SUM(C18:F18)</f>
        <v>9526</v>
      </c>
      <c r="H18" s="19" t="n">
        <f aca="false">D18+F18</f>
        <v>4679</v>
      </c>
      <c r="I18" s="8" t="n">
        <f aca="false">IF(G18=0,0,H18/G18)</f>
        <v>0.491182028133529</v>
      </c>
    </row>
    <row r="19" customFormat="false" ht="15" hidden="false" customHeight="false" outlineLevel="0" collapsed="false">
      <c r="A19" s="5" t="s">
        <v>95</v>
      </c>
      <c r="B19" s="5" t="s">
        <v>93</v>
      </c>
      <c r="C19" s="23" t="n">
        <v>477</v>
      </c>
      <c r="D19" s="23" t="n">
        <v>0</v>
      </c>
      <c r="E19" s="23" t="n">
        <v>3959</v>
      </c>
      <c r="F19" s="23" t="n">
        <v>2274</v>
      </c>
      <c r="G19" s="19" t="n">
        <f aca="false">SUM(C19:F19)</f>
        <v>6710</v>
      </c>
      <c r="H19" s="19" t="n">
        <f aca="false">D19+F19</f>
        <v>2274</v>
      </c>
      <c r="I19" s="8" t="n">
        <f aca="false">IF(G19=0,0,H19/G19)</f>
        <v>0.338897168405365</v>
      </c>
    </row>
    <row r="20" customFormat="false" ht="15" hidden="false" customHeight="false" outlineLevel="0" collapsed="false">
      <c r="A20" s="5" t="s">
        <v>96</v>
      </c>
      <c r="B20" s="5" t="s">
        <v>93</v>
      </c>
      <c r="C20" s="23" t="n">
        <v>421</v>
      </c>
      <c r="D20" s="23" t="n">
        <v>0</v>
      </c>
      <c r="E20" s="23" t="n">
        <v>18999</v>
      </c>
      <c r="F20" s="23" t="n">
        <v>11747</v>
      </c>
      <c r="G20" s="19" t="n">
        <f aca="false">SUM(C20:F20)</f>
        <v>31167</v>
      </c>
      <c r="H20" s="19" t="n">
        <f aca="false">D20+F20</f>
        <v>11747</v>
      </c>
      <c r="I20" s="8" t="n">
        <f aca="false">IF(G20=0,0,H20/G20)</f>
        <v>0.376905059838932</v>
      </c>
    </row>
    <row r="21" customFormat="false" ht="15" hidden="false" customHeight="false" outlineLevel="0" collapsed="false">
      <c r="A21" s="5" t="s">
        <v>97</v>
      </c>
      <c r="B21" s="5" t="s">
        <v>93</v>
      </c>
      <c r="C21" s="23" t="n">
        <v>107</v>
      </c>
      <c r="D21" s="23" t="n">
        <v>0</v>
      </c>
      <c r="E21" s="23" t="n">
        <v>14275</v>
      </c>
      <c r="F21" s="23" t="n">
        <v>14886</v>
      </c>
      <c r="G21" s="19" t="n">
        <f aca="false">SUM(C21:F21)</f>
        <v>29268</v>
      </c>
      <c r="H21" s="19" t="n">
        <f aca="false">D21+F21</f>
        <v>14886</v>
      </c>
      <c r="I21" s="8" t="n">
        <f aca="false">IF(G21=0,0,H21/G21)</f>
        <v>0.508610086100861</v>
      </c>
    </row>
    <row r="22" customFormat="false" ht="15" hidden="false" customHeight="false" outlineLevel="0" collapsed="false">
      <c r="A22" s="5" t="s">
        <v>98</v>
      </c>
      <c r="B22" s="5" t="s">
        <v>93</v>
      </c>
      <c r="C22" s="23" t="n">
        <v>0</v>
      </c>
      <c r="D22" s="23" t="n">
        <v>0</v>
      </c>
      <c r="E22" s="23" t="n">
        <v>2113</v>
      </c>
      <c r="F22" s="23" t="n">
        <v>418</v>
      </c>
      <c r="G22" s="19" t="n">
        <f aca="false">SUM(C22:F22)</f>
        <v>2531</v>
      </c>
      <c r="H22" s="19" t="n">
        <f aca="false">D22+F22</f>
        <v>418</v>
      </c>
      <c r="I22" s="8" t="n">
        <f aca="false">IF(G22=0,0,H22/G22)</f>
        <v>0.165152113789016</v>
      </c>
    </row>
    <row r="23" customFormat="false" ht="15" hidden="false" customHeight="false" outlineLevel="0" collapsed="false">
      <c r="A23" s="5" t="s">
        <v>99</v>
      </c>
      <c r="B23" s="5" t="s">
        <v>93</v>
      </c>
      <c r="C23" s="23" t="n">
        <v>85</v>
      </c>
      <c r="D23" s="23" t="n">
        <v>0</v>
      </c>
      <c r="E23" s="23" t="n">
        <v>16755</v>
      </c>
      <c r="F23" s="23" t="n">
        <v>23510</v>
      </c>
      <c r="G23" s="19" t="n">
        <f aca="false">SUM(C23:F23)</f>
        <v>40350</v>
      </c>
      <c r="H23" s="19" t="n">
        <f aca="false">D23+F23</f>
        <v>23510</v>
      </c>
      <c r="I23" s="8" t="n">
        <f aca="false">IF(G23=0,0,H23/G23)</f>
        <v>0.582651796778191</v>
      </c>
    </row>
    <row r="24" customFormat="false" ht="15" hidden="false" customHeight="false" outlineLevel="0" collapsed="false">
      <c r="A24" s="5" t="s">
        <v>100</v>
      </c>
      <c r="B24" s="5" t="s">
        <v>93</v>
      </c>
      <c r="C24" s="23" t="n">
        <v>0</v>
      </c>
      <c r="D24" s="23" t="n">
        <v>0</v>
      </c>
      <c r="E24" s="23" t="n">
        <v>285</v>
      </c>
      <c r="F24" s="23" t="n">
        <v>0</v>
      </c>
      <c r="G24" s="19" t="n">
        <f aca="false">SUM(C24:F24)</f>
        <v>285</v>
      </c>
      <c r="H24" s="19" t="n">
        <f aca="false">D24+F24</f>
        <v>0</v>
      </c>
      <c r="I24" s="8" t="n">
        <f aca="false">IF(G24=0,0,H24/G24)</f>
        <v>0</v>
      </c>
    </row>
    <row r="25" customFormat="false" ht="15" hidden="false" customHeight="false" outlineLevel="0" collapsed="false">
      <c r="A25" s="5" t="s">
        <v>101</v>
      </c>
      <c r="B25" s="5" t="s">
        <v>93</v>
      </c>
      <c r="C25" s="23" t="n">
        <v>0</v>
      </c>
      <c r="D25" s="23" t="n">
        <v>0</v>
      </c>
      <c r="E25" s="23" t="n">
        <v>4496</v>
      </c>
      <c r="F25" s="23" t="n">
        <v>8443</v>
      </c>
      <c r="G25" s="19" t="n">
        <f aca="false">SUM(C25:F25)</f>
        <v>12939</v>
      </c>
      <c r="H25" s="19" t="n">
        <f aca="false">D25+F25</f>
        <v>8443</v>
      </c>
      <c r="I25" s="8" t="n">
        <f aca="false">IF(G25=0,0,H25/G25)</f>
        <v>0.652523378931911</v>
      </c>
    </row>
    <row r="26" customFormat="false" ht="15" hidden="false" customHeight="false" outlineLevel="0" collapsed="false">
      <c r="A26" s="5" t="s">
        <v>102</v>
      </c>
      <c r="B26" s="5" t="s">
        <v>93</v>
      </c>
      <c r="C26" s="23" t="n">
        <v>0</v>
      </c>
      <c r="D26" s="23" t="n">
        <v>0</v>
      </c>
      <c r="E26" s="23" t="n">
        <v>2378</v>
      </c>
      <c r="F26" s="23" t="n">
        <v>1086</v>
      </c>
      <c r="G26" s="19" t="n">
        <f aca="false">SUM(C26:F26)</f>
        <v>3464</v>
      </c>
      <c r="H26" s="19" t="n">
        <f aca="false">D26+F26</f>
        <v>1086</v>
      </c>
      <c r="I26" s="8" t="n">
        <f aca="false">IF(G26=0,0,H26/G26)</f>
        <v>0.3135103926097</v>
      </c>
    </row>
    <row r="27" customFormat="false" ht="15" hidden="false" customHeight="false" outlineLevel="0" collapsed="false">
      <c r="A27" s="5" t="s">
        <v>103</v>
      </c>
      <c r="B27" s="5" t="s">
        <v>103</v>
      </c>
      <c r="C27" s="23" t="n">
        <v>4622</v>
      </c>
      <c r="D27" s="23" t="n">
        <v>0</v>
      </c>
      <c r="E27" s="23" t="n">
        <v>91818</v>
      </c>
      <c r="F27" s="23" t="n">
        <v>1301</v>
      </c>
      <c r="G27" s="19" t="n">
        <f aca="false">SUM(C27:F27)</f>
        <v>97741</v>
      </c>
      <c r="H27" s="19" t="n">
        <f aca="false">D27+F27</f>
        <v>1301</v>
      </c>
      <c r="I27" s="8" t="n">
        <f aca="false">IF(G27=0,0,H27/G27)</f>
        <v>0.0133106884521337</v>
      </c>
    </row>
    <row r="28" customFormat="false" ht="15" hidden="false" customHeight="false" outlineLevel="0" collapsed="false">
      <c r="A28" s="5" t="s">
        <v>104</v>
      </c>
      <c r="B28" s="5" t="s">
        <v>105</v>
      </c>
      <c r="C28" s="23" t="n">
        <v>10139</v>
      </c>
      <c r="D28" s="23" t="n">
        <v>0</v>
      </c>
      <c r="E28" s="23" t="n">
        <v>147792</v>
      </c>
      <c r="F28" s="23" t="n">
        <v>10078</v>
      </c>
      <c r="G28" s="19" t="n">
        <f aca="false">SUM(C28:F28)</f>
        <v>168009</v>
      </c>
      <c r="H28" s="19" t="n">
        <f aca="false">D28+F28</f>
        <v>10078</v>
      </c>
      <c r="I28" s="8" t="n">
        <f aca="false">IF(G28=0,0,H28/G28)</f>
        <v>0.0599848817622865</v>
      </c>
    </row>
    <row r="29" customFormat="false" ht="15" hidden="false" customHeight="false" outlineLevel="0" collapsed="false">
      <c r="A29" s="9" t="s">
        <v>67</v>
      </c>
      <c r="B29" s="9"/>
      <c r="C29" s="20" t="n">
        <f aca="false">SUM(C5:C28)</f>
        <v>1314436</v>
      </c>
      <c r="D29" s="20" t="n">
        <f aca="false">SUM(D5:D28)</f>
        <v>5439</v>
      </c>
      <c r="E29" s="20" t="n">
        <f aca="false">SUM(E5:E28)</f>
        <v>6499862</v>
      </c>
      <c r="F29" s="20" t="n">
        <f aca="false">SUM(F5:F28)</f>
        <v>911556</v>
      </c>
      <c r="G29" s="20" t="n">
        <f aca="false">SUM(G5:G28)</f>
        <v>8731293</v>
      </c>
      <c r="H29" s="20" t="n">
        <f aca="false">SUM(H5:H28)</f>
        <v>916995</v>
      </c>
      <c r="I29" s="12" t="n">
        <f aca="false">H29/G29</f>
        <v>0.105023963804674</v>
      </c>
    </row>
    <row r="31" customFormat="false" ht="15" hidden="false" customHeight="false" outlineLevel="0" collapsed="false">
      <c r="A31" s="2" t="s">
        <v>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00"/>
  </cols>
  <sheetData>
    <row r="1" customFormat="false" ht="16.15" hidden="false" customHeight="false" outlineLevel="0" collapsed="false">
      <c r="A1" s="1" t="s">
        <v>120</v>
      </c>
    </row>
    <row r="3" customFormat="false" ht="15" hidden="false" customHeight="false" outlineLevel="0" collapsed="false">
      <c r="A3" s="22" t="s">
        <v>121</v>
      </c>
      <c r="B3" s="24" t="s">
        <v>122</v>
      </c>
    </row>
    <row r="4" customFormat="false" ht="15" hidden="false" customHeight="false" outlineLevel="0" collapsed="false">
      <c r="A4" s="22" t="s">
        <v>123</v>
      </c>
      <c r="B4" s="24" t="s">
        <v>124</v>
      </c>
    </row>
    <row r="5" customFormat="false" ht="15" hidden="false" customHeight="false" outlineLevel="0" collapsed="false">
      <c r="A5" s="22" t="s">
        <v>125</v>
      </c>
      <c r="B5" s="24" t="s">
        <v>126</v>
      </c>
    </row>
    <row r="6" customFormat="false" ht="15" hidden="false" customHeight="false" outlineLevel="0" collapsed="false">
      <c r="A6" s="22" t="s">
        <v>127</v>
      </c>
      <c r="B6" s="24" t="s">
        <v>128</v>
      </c>
    </row>
    <row r="7" customFormat="false" ht="15" hidden="false" customHeight="false" outlineLevel="0" collapsed="false">
      <c r="A7" s="22" t="s">
        <v>129</v>
      </c>
      <c r="B7" s="24" t="s">
        <v>130</v>
      </c>
    </row>
    <row r="8" customFormat="false" ht="26.85" hidden="false" customHeight="false" outlineLevel="0" collapsed="false">
      <c r="A8" s="22" t="s">
        <v>131</v>
      </c>
      <c r="B8" s="24" t="s">
        <v>132</v>
      </c>
    </row>
    <row r="9" customFormat="false" ht="15" hidden="false" customHeight="false" outlineLevel="0" collapsed="false">
      <c r="A9" s="22" t="s">
        <v>133</v>
      </c>
      <c r="B9" s="24" t="s">
        <v>134</v>
      </c>
    </row>
    <row r="10" customFormat="false" ht="15" hidden="false" customHeight="false" outlineLevel="0" collapsed="false">
      <c r="A10" s="22" t="s">
        <v>135</v>
      </c>
      <c r="B10" s="24" t="s">
        <v>136</v>
      </c>
    </row>
    <row r="11" customFormat="false" ht="26.85" hidden="false" customHeight="false" outlineLevel="0" collapsed="false">
      <c r="A11" s="22" t="s">
        <v>137</v>
      </c>
      <c r="B11" s="24" t="s">
        <v>138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2026-10-12T16:43:02Z</dcterms:created>
  <dc:creator>openpyxl</dc:creator>
  <dc:description/>
  <dc:language>en-US</dc:language>
  <cp:lastModifiedBy/>
  <dcterms:modified xsi:type="dcterms:W3CDTF">2026-10-12T16:43:05Z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